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05" windowWidth="15120" windowHeight="8010" activeTab="11"/>
  </bookViews>
  <sheets>
    <sheet name="60" sheetId="1" r:id="rId1"/>
    <sheet name="62" sheetId="2" r:id="rId2"/>
    <sheet name="62а" sheetId="3" r:id="rId3"/>
    <sheet name="68" sheetId="4" r:id="rId4"/>
    <sheet name="68а" sheetId="5" r:id="rId5"/>
    <sheet name="70" sheetId="6" r:id="rId6"/>
    <sheet name="70а" sheetId="7" r:id="rId7"/>
    <sheet name="72" sheetId="8" r:id="rId8"/>
    <sheet name="72а" sheetId="9" r:id="rId9"/>
    <sheet name="80" sheetId="11" r:id="rId10"/>
    <sheet name="82" sheetId="12" r:id="rId11"/>
    <sheet name="84в" sheetId="13" r:id="rId12"/>
    <sheet name="86а" sheetId="14" r:id="rId13"/>
    <sheet name="88" sheetId="15" r:id="rId14"/>
    <sheet name="92" sheetId="17" r:id="rId15"/>
    <sheet name="92а" sheetId="18" r:id="rId16"/>
    <sheet name="94" sheetId="19" r:id="rId17"/>
    <sheet name="96" sheetId="20" r:id="rId18"/>
    <sheet name="96а" sheetId="21" r:id="rId19"/>
    <sheet name="98" sheetId="22" r:id="rId20"/>
    <sheet name="100" sheetId="23" r:id="rId21"/>
  </sheets>
  <calcPr calcId="124519"/>
  <fileRecoveryPr autoRecover="0"/>
</workbook>
</file>

<file path=xl/calcChain.xml><?xml version="1.0" encoding="utf-8"?>
<calcChain xmlns="http://schemas.openxmlformats.org/spreadsheetml/2006/main">
  <c r="G39" i="21"/>
  <c r="G40"/>
  <c r="G40" i="2" l="1"/>
  <c r="G40" i="23"/>
  <c r="E40"/>
  <c r="G40" i="22"/>
  <c r="E40"/>
  <c r="E40" i="21"/>
  <c r="G40" i="20"/>
  <c r="E40"/>
  <c r="G40" i="19"/>
  <c r="E40"/>
  <c r="G41" i="18"/>
  <c r="E41"/>
  <c r="G40" i="17"/>
  <c r="E40"/>
  <c r="G40" i="15"/>
  <c r="E40"/>
  <c r="G40" i="14"/>
  <c r="E40"/>
  <c r="G41" i="13"/>
  <c r="E41"/>
  <c r="G40" i="12"/>
  <c r="E40"/>
  <c r="G38" i="11"/>
  <c r="E38"/>
  <c r="G40" i="9"/>
  <c r="E40"/>
  <c r="G40" i="8"/>
  <c r="E40"/>
  <c r="G40" i="7"/>
  <c r="E40"/>
  <c r="G40" i="6"/>
  <c r="E40"/>
  <c r="G40" i="5"/>
  <c r="E40"/>
  <c r="G40" i="4"/>
  <c r="E40"/>
  <c r="G41" i="3"/>
  <c r="E41"/>
  <c r="G40" i="1"/>
  <c r="E40"/>
  <c r="E33" i="11"/>
  <c r="E35" i="2"/>
  <c r="E40"/>
  <c r="N25" i="23" l="1"/>
  <c r="N25" i="22"/>
  <c r="N25" i="21"/>
  <c r="O25" i="20"/>
  <c r="N25" i="19"/>
  <c r="N25" i="18"/>
  <c r="N25" i="17"/>
  <c r="N25" i="15"/>
  <c r="N25" i="14"/>
  <c r="N25" i="13"/>
  <c r="N25" i="12"/>
  <c r="N23" i="11"/>
  <c r="N25" i="9"/>
  <c r="N25" i="8"/>
  <c r="N25" i="7"/>
  <c r="N25" i="6"/>
  <c r="N25" i="5"/>
  <c r="N25" i="4"/>
  <c r="N25" i="3"/>
  <c r="G21" i="2"/>
  <c r="E21"/>
  <c r="C21" s="1"/>
  <c r="G21" i="1"/>
  <c r="E21"/>
  <c r="C21" s="1"/>
  <c r="N25" i="2"/>
  <c r="N25" i="1"/>
  <c r="G39" i="4"/>
  <c r="G41" i="20" l="1"/>
  <c r="G41" i="7" l="1"/>
  <c r="G40" i="13" l="1"/>
  <c r="C40" i="6" l="1"/>
  <c r="G39" i="1" l="1"/>
  <c r="G42" i="18" l="1"/>
  <c r="H33" i="4" l="1"/>
  <c r="C21" i="20" l="1"/>
  <c r="G41" i="5" l="1"/>
  <c r="G39" i="15" l="1"/>
  <c r="G41"/>
  <c r="C40" l="1"/>
  <c r="G40" i="18" l="1"/>
  <c r="G42" i="13"/>
  <c r="G42" i="3"/>
  <c r="G43" s="1"/>
  <c r="G40"/>
  <c r="G21" l="1"/>
  <c r="E21"/>
  <c r="C41"/>
  <c r="C21" l="1"/>
  <c r="G37" i="11"/>
  <c r="G39"/>
  <c r="G40" s="1"/>
  <c r="G19"/>
  <c r="E19"/>
  <c r="C19" l="1"/>
  <c r="C38"/>
  <c r="G41" i="17" l="1"/>
  <c r="G41" i="14"/>
  <c r="G39"/>
  <c r="G41" i="12"/>
  <c r="G39"/>
  <c r="G41" i="8"/>
  <c r="G39" i="7"/>
  <c r="G41" i="6"/>
  <c r="G39"/>
  <c r="G39" i="5"/>
  <c r="G41" i="4"/>
  <c r="G42" s="1"/>
  <c r="G41" i="2"/>
  <c r="G39"/>
  <c r="G41" i="1"/>
  <c r="G42" l="1"/>
  <c r="G39" i="8" l="1"/>
  <c r="G39" i="20" l="1"/>
  <c r="G21"/>
  <c r="E21"/>
  <c r="G41" i="23"/>
  <c r="G42" s="1"/>
  <c r="G39"/>
  <c r="G21"/>
  <c r="E21"/>
  <c r="G41" i="22"/>
  <c r="G42" s="1"/>
  <c r="G39"/>
  <c r="G21"/>
  <c r="E21"/>
  <c r="G41" i="21"/>
  <c r="G42" s="1"/>
  <c r="G21"/>
  <c r="E21"/>
  <c r="G41" i="19"/>
  <c r="G42" s="1"/>
  <c r="G39"/>
  <c r="G21"/>
  <c r="E21"/>
  <c r="G21" i="18"/>
  <c r="E21"/>
  <c r="G42" i="17"/>
  <c r="G39"/>
  <c r="G21"/>
  <c r="E21"/>
  <c r="G42" i="15"/>
  <c r="G21"/>
  <c r="E21"/>
  <c r="G21" i="14"/>
  <c r="E21"/>
  <c r="G21" i="13"/>
  <c r="E21"/>
  <c r="G42" i="12"/>
  <c r="G21"/>
  <c r="E21"/>
  <c r="G41" i="9"/>
  <c r="G42" s="1"/>
  <c r="G39"/>
  <c r="G21"/>
  <c r="E21"/>
  <c r="G42" i="8"/>
  <c r="G21"/>
  <c r="E21"/>
  <c r="C40" i="7"/>
  <c r="G21"/>
  <c r="E21"/>
  <c r="G42" i="6"/>
  <c r="G21"/>
  <c r="E21"/>
  <c r="G21" i="5"/>
  <c r="E21"/>
  <c r="G21" i="4"/>
  <c r="E21"/>
  <c r="C40" i="2"/>
  <c r="C40" i="1"/>
  <c r="C21" i="15" l="1"/>
  <c r="C21" i="13"/>
  <c r="C21" i="22"/>
  <c r="C21" i="8"/>
  <c r="C21" i="7"/>
  <c r="C21" i="6"/>
  <c r="C21" i="23"/>
  <c r="C40" i="22"/>
  <c r="C21" i="21"/>
  <c r="C40"/>
  <c r="C21" i="19"/>
  <c r="C40"/>
  <c r="C21" i="18"/>
  <c r="G43"/>
  <c r="C21" i="17"/>
  <c r="C40"/>
  <c r="C40" i="14"/>
  <c r="C21"/>
  <c r="G43" i="13"/>
  <c r="C21" i="12"/>
  <c r="C40"/>
  <c r="C21" i="9"/>
  <c r="C40"/>
  <c r="G42" i="7"/>
  <c r="G42" i="5"/>
  <c r="C21"/>
  <c r="C40"/>
  <c r="C21" i="4"/>
  <c r="G42" i="2"/>
  <c r="G42" i="20"/>
  <c r="C40"/>
  <c r="G42" i="14"/>
  <c r="C41" i="13"/>
  <c r="H33" i="23" l="1"/>
  <c r="H33" i="22"/>
  <c r="H33" i="21"/>
  <c r="H33" i="20"/>
  <c r="H33" i="19" l="1"/>
  <c r="H33" i="18"/>
  <c r="H33" i="17"/>
  <c r="H33" i="15"/>
  <c r="H33" i="14" l="1"/>
  <c r="H33" i="13" l="1"/>
  <c r="H33" i="12"/>
  <c r="H31" i="11"/>
  <c r="H33" i="9"/>
  <c r="H33" i="7"/>
  <c r="H33" i="6"/>
  <c r="H33" i="5"/>
  <c r="H33" i="3" l="1"/>
  <c r="H33" i="2"/>
  <c r="H33" i="1"/>
  <c r="E35" l="1"/>
  <c r="M26" l="1"/>
  <c r="F32" l="1"/>
  <c r="N26"/>
  <c r="G26" s="1"/>
  <c r="F27"/>
  <c r="F31"/>
  <c r="F26"/>
  <c r="F30"/>
  <c r="F29"/>
  <c r="F34"/>
  <c r="F28"/>
  <c r="E35" i="23"/>
  <c r="E35" i="22"/>
  <c r="G31" i="1" l="1"/>
  <c r="G30"/>
  <c r="G27"/>
  <c r="G28"/>
  <c r="G32"/>
  <c r="G34"/>
  <c r="G29"/>
  <c r="M26" i="23"/>
  <c r="N26" s="1"/>
  <c r="E39" i="1"/>
  <c r="C39" s="1"/>
  <c r="M26" i="22"/>
  <c r="N26" s="1"/>
  <c r="H26" i="1"/>
  <c r="G30" i="23" l="1"/>
  <c r="G28"/>
  <c r="G26"/>
  <c r="G31"/>
  <c r="G27"/>
  <c r="G32"/>
  <c r="G34"/>
  <c r="G29"/>
  <c r="F32"/>
  <c r="F30"/>
  <c r="F28"/>
  <c r="F26"/>
  <c r="F34"/>
  <c r="F31"/>
  <c r="F29"/>
  <c r="F27"/>
  <c r="G35" i="1"/>
  <c r="E41"/>
  <c r="C41" s="1"/>
  <c r="C40" i="23"/>
  <c r="G34" i="22"/>
  <c r="G32"/>
  <c r="G31"/>
  <c r="G30"/>
  <c r="G29"/>
  <c r="G28"/>
  <c r="G27"/>
  <c r="G26"/>
  <c r="F32"/>
  <c r="F30"/>
  <c r="F28"/>
  <c r="F26"/>
  <c r="F34"/>
  <c r="H34" s="1"/>
  <c r="F31"/>
  <c r="F29"/>
  <c r="F27"/>
  <c r="E42" i="1" l="1"/>
  <c r="C42" s="1"/>
  <c r="E41" i="23"/>
  <c r="E42" s="1"/>
  <c r="C42" s="1"/>
  <c r="E39"/>
  <c r="C39" s="1"/>
  <c r="E41" i="22"/>
  <c r="C41" s="1"/>
  <c r="E39"/>
  <c r="C39" s="1"/>
  <c r="H32"/>
  <c r="H27"/>
  <c r="H31"/>
  <c r="H30"/>
  <c r="H28"/>
  <c r="H29"/>
  <c r="F35" i="23"/>
  <c r="H28"/>
  <c r="H32"/>
  <c r="H27"/>
  <c r="H31"/>
  <c r="H26"/>
  <c r="G35"/>
  <c r="H30"/>
  <c r="H34"/>
  <c r="H29"/>
  <c r="H26" i="22"/>
  <c r="F35"/>
  <c r="G35"/>
  <c r="E35" i="21"/>
  <c r="E35" i="20"/>
  <c r="E35" i="19"/>
  <c r="E36" i="18"/>
  <c r="J36" s="1"/>
  <c r="E35" i="17"/>
  <c r="E35" i="15"/>
  <c r="E35" i="14"/>
  <c r="E36" i="13"/>
  <c r="E35" i="12"/>
  <c r="E35" i="9"/>
  <c r="E35" i="8"/>
  <c r="E35" i="7"/>
  <c r="E35" i="6"/>
  <c r="E35" i="5"/>
  <c r="E35" i="4"/>
  <c r="J35" s="1"/>
  <c r="M26" i="14" l="1"/>
  <c r="N26" s="1"/>
  <c r="N24" i="11"/>
  <c r="M26" i="18"/>
  <c r="N26" s="1"/>
  <c r="N26" i="19"/>
  <c r="M26"/>
  <c r="N26" i="8"/>
  <c r="M26"/>
  <c r="M26" i="4"/>
  <c r="N26" s="1"/>
  <c r="M26" i="5"/>
  <c r="M26" i="21"/>
  <c r="N26" s="1"/>
  <c r="M26" i="17"/>
  <c r="M26" i="15"/>
  <c r="M26" i="12"/>
  <c r="N26" s="1"/>
  <c r="M26" i="9"/>
  <c r="F26" s="1"/>
  <c r="N26"/>
  <c r="M26" i="6"/>
  <c r="N26" s="1"/>
  <c r="N26" i="20"/>
  <c r="M26" i="13"/>
  <c r="N26" s="1"/>
  <c r="G34" s="1"/>
  <c r="M24" i="11"/>
  <c r="M26" i="7"/>
  <c r="E42" i="22"/>
  <c r="C42" s="1"/>
  <c r="H35" i="23"/>
  <c r="C41"/>
  <c r="H35" i="22"/>
  <c r="E36" i="3"/>
  <c r="F34" i="20" l="1"/>
  <c r="O26"/>
  <c r="G30" s="1"/>
  <c r="F30" i="19"/>
  <c r="F26"/>
  <c r="F27"/>
  <c r="F32"/>
  <c r="F34"/>
  <c r="F29"/>
  <c r="F31"/>
  <c r="F28"/>
  <c r="G30"/>
  <c r="G31"/>
  <c r="G26"/>
  <c r="G29"/>
  <c r="G28"/>
  <c r="G27"/>
  <c r="G34"/>
  <c r="G32"/>
  <c r="F30" i="17"/>
  <c r="N26"/>
  <c r="G34" s="1"/>
  <c r="F34" i="15"/>
  <c r="N26"/>
  <c r="F29" i="7"/>
  <c r="N26"/>
  <c r="F34"/>
  <c r="F34" i="5"/>
  <c r="N26"/>
  <c r="G34" s="1"/>
  <c r="M26" i="3"/>
  <c r="N26" s="1"/>
  <c r="F26" i="17"/>
  <c r="F31"/>
  <c r="F28"/>
  <c r="F29"/>
  <c r="F32"/>
  <c r="F34"/>
  <c r="F27"/>
  <c r="F32" i="11"/>
  <c r="F29"/>
  <c r="F27"/>
  <c r="F25"/>
  <c r="F30"/>
  <c r="F28"/>
  <c r="F26"/>
  <c r="F24"/>
  <c r="G28"/>
  <c r="G32"/>
  <c r="G29"/>
  <c r="G27"/>
  <c r="G25"/>
  <c r="G26"/>
  <c r="H26" s="1"/>
  <c r="G30"/>
  <c r="G24"/>
  <c r="G34" i="8"/>
  <c r="G31"/>
  <c r="G29"/>
  <c r="G27"/>
  <c r="G32"/>
  <c r="G30"/>
  <c r="H30" s="1"/>
  <c r="G28"/>
  <c r="G26"/>
  <c r="F34"/>
  <c r="F26"/>
  <c r="F30"/>
  <c r="F28"/>
  <c r="F31"/>
  <c r="F29"/>
  <c r="F27"/>
  <c r="F32"/>
  <c r="G34" i="4"/>
  <c r="G31"/>
  <c r="G29"/>
  <c r="G27"/>
  <c r="G30"/>
  <c r="G28"/>
  <c r="G26"/>
  <c r="G32"/>
  <c r="F32"/>
  <c r="F30"/>
  <c r="F26"/>
  <c r="F34"/>
  <c r="F31"/>
  <c r="F29"/>
  <c r="F27"/>
  <c r="F28"/>
  <c r="F35" i="18"/>
  <c r="F32"/>
  <c r="F30"/>
  <c r="F28"/>
  <c r="F26"/>
  <c r="F34"/>
  <c r="F31"/>
  <c r="F29"/>
  <c r="F27"/>
  <c r="G31"/>
  <c r="G30"/>
  <c r="G27"/>
  <c r="G35"/>
  <c r="G32"/>
  <c r="G29"/>
  <c r="G28"/>
  <c r="G26"/>
  <c r="G34"/>
  <c r="H32" i="19"/>
  <c r="H30"/>
  <c r="C41" i="18"/>
  <c r="M26" i="2"/>
  <c r="C40" i="4"/>
  <c r="C40" i="8"/>
  <c r="F34" i="21"/>
  <c r="F32"/>
  <c r="F31"/>
  <c r="F30"/>
  <c r="F29"/>
  <c r="G34"/>
  <c r="G32"/>
  <c r="G31"/>
  <c r="G30"/>
  <c r="G29"/>
  <c r="F31" i="20"/>
  <c r="F29"/>
  <c r="F27"/>
  <c r="F32"/>
  <c r="F30"/>
  <c r="F28"/>
  <c r="F26"/>
  <c r="G32"/>
  <c r="G34"/>
  <c r="G26" i="21"/>
  <c r="G28"/>
  <c r="G27"/>
  <c r="F26"/>
  <c r="F28"/>
  <c r="F27"/>
  <c r="H31" i="19"/>
  <c r="H29"/>
  <c r="G31" i="17"/>
  <c r="G28"/>
  <c r="G34" i="15"/>
  <c r="G32"/>
  <c r="G31"/>
  <c r="G30"/>
  <c r="G29"/>
  <c r="F32"/>
  <c r="F30"/>
  <c r="F31"/>
  <c r="F29"/>
  <c r="F27"/>
  <c r="F28"/>
  <c r="F26"/>
  <c r="G28"/>
  <c r="G27"/>
  <c r="G26"/>
  <c r="G34" i="14"/>
  <c r="G32"/>
  <c r="G31"/>
  <c r="G30"/>
  <c r="G29"/>
  <c r="G28"/>
  <c r="G27"/>
  <c r="G26"/>
  <c r="F32"/>
  <c r="F30"/>
  <c r="F28"/>
  <c r="F26"/>
  <c r="F34"/>
  <c r="F31"/>
  <c r="F29"/>
  <c r="F27"/>
  <c r="G32" i="13"/>
  <c r="G30"/>
  <c r="G28"/>
  <c r="G26"/>
  <c r="G31"/>
  <c r="G27"/>
  <c r="G35"/>
  <c r="G29"/>
  <c r="F35"/>
  <c r="F31"/>
  <c r="F29"/>
  <c r="F27"/>
  <c r="F30"/>
  <c r="F28"/>
  <c r="F34"/>
  <c r="H34" s="1"/>
  <c r="F32"/>
  <c r="F26"/>
  <c r="F34" i="12"/>
  <c r="F32"/>
  <c r="F31"/>
  <c r="F30"/>
  <c r="F29"/>
  <c r="F28"/>
  <c r="F27"/>
  <c r="F26"/>
  <c r="G34"/>
  <c r="G32"/>
  <c r="G31"/>
  <c r="G30"/>
  <c r="G29"/>
  <c r="G28"/>
  <c r="G27"/>
  <c r="G26"/>
  <c r="F32" i="9"/>
  <c r="F30"/>
  <c r="F28"/>
  <c r="F34"/>
  <c r="F31"/>
  <c r="F29"/>
  <c r="F27"/>
  <c r="G26"/>
  <c r="G34"/>
  <c r="G32"/>
  <c r="G31"/>
  <c r="G30"/>
  <c r="G29"/>
  <c r="G28"/>
  <c r="G27"/>
  <c r="F32" i="7"/>
  <c r="F30"/>
  <c r="F28"/>
  <c r="F26"/>
  <c r="F27"/>
  <c r="F31"/>
  <c r="G32"/>
  <c r="G31"/>
  <c r="G30"/>
  <c r="G28"/>
  <c r="G27"/>
  <c r="G26"/>
  <c r="F26" i="6"/>
  <c r="F32"/>
  <c r="F30"/>
  <c r="F28"/>
  <c r="F31"/>
  <c r="F29"/>
  <c r="F27"/>
  <c r="F34"/>
  <c r="G26"/>
  <c r="G34"/>
  <c r="G32"/>
  <c r="G31"/>
  <c r="G30"/>
  <c r="G29"/>
  <c r="G28"/>
  <c r="G27"/>
  <c r="F32" i="5"/>
  <c r="F30"/>
  <c r="F28"/>
  <c r="F26"/>
  <c r="F29"/>
  <c r="F27"/>
  <c r="F31"/>
  <c r="H33" i="8"/>
  <c r="H31" i="21"/>
  <c r="H28" i="19" l="1"/>
  <c r="H34" i="17"/>
  <c r="H28" i="21"/>
  <c r="G28" i="20"/>
  <c r="H28" s="1"/>
  <c r="G29"/>
  <c r="H29" s="1"/>
  <c r="G27"/>
  <c r="H27" s="1"/>
  <c r="G31"/>
  <c r="H31" s="1"/>
  <c r="G26"/>
  <c r="H26" s="1"/>
  <c r="H34" i="19"/>
  <c r="G27" i="17"/>
  <c r="H27" s="1"/>
  <c r="G32"/>
  <c r="G26"/>
  <c r="G30"/>
  <c r="H30" s="1"/>
  <c r="G29"/>
  <c r="H29" s="1"/>
  <c r="F35"/>
  <c r="H28"/>
  <c r="H27" i="8"/>
  <c r="G30" i="5"/>
  <c r="H30" s="1"/>
  <c r="G27"/>
  <c r="H27" s="1"/>
  <c r="G26"/>
  <c r="H26" s="1"/>
  <c r="G31"/>
  <c r="H31" s="1"/>
  <c r="H24" i="11"/>
  <c r="G34" i="7"/>
  <c r="H34" s="1"/>
  <c r="G29"/>
  <c r="H29" s="1"/>
  <c r="H28" i="6"/>
  <c r="G29" i="5"/>
  <c r="H29" s="1"/>
  <c r="G28"/>
  <c r="G32"/>
  <c r="H32" s="1"/>
  <c r="H34"/>
  <c r="G26" i="3"/>
  <c r="G34"/>
  <c r="F32" i="2"/>
  <c r="N26"/>
  <c r="G26" s="1"/>
  <c r="H30" i="11"/>
  <c r="H32" i="8"/>
  <c r="H34" i="4"/>
  <c r="H34" i="18"/>
  <c r="H32" i="17"/>
  <c r="H31"/>
  <c r="E39"/>
  <c r="C39" s="1"/>
  <c r="H32" i="15"/>
  <c r="H28"/>
  <c r="H30"/>
  <c r="H27" i="11"/>
  <c r="H28"/>
  <c r="H32"/>
  <c r="H28" i="9"/>
  <c r="H34" i="6"/>
  <c r="H27" i="21"/>
  <c r="H30" i="9"/>
  <c r="H25" i="11"/>
  <c r="H32" i="21"/>
  <c r="H32" i="20"/>
  <c r="H30" i="4"/>
  <c r="H30" i="21"/>
  <c r="F27" i="2"/>
  <c r="F31"/>
  <c r="F26"/>
  <c r="F30"/>
  <c r="F29"/>
  <c r="F34"/>
  <c r="F28"/>
  <c r="H29" i="21"/>
  <c r="H31" i="15"/>
  <c r="H27"/>
  <c r="F35" i="14"/>
  <c r="H31" i="8"/>
  <c r="G33" i="11"/>
  <c r="H29"/>
  <c r="H32" i="9"/>
  <c r="H31" i="6"/>
  <c r="H28" i="4"/>
  <c r="H32"/>
  <c r="E39" i="12"/>
  <c r="C39" s="1"/>
  <c r="H32" i="6"/>
  <c r="E40" i="18"/>
  <c r="C40" s="1"/>
  <c r="E42"/>
  <c r="E43" s="1"/>
  <c r="C43" s="1"/>
  <c r="E39" i="21"/>
  <c r="C39" s="1"/>
  <c r="H35" i="18"/>
  <c r="E39" i="5"/>
  <c r="C39" s="1"/>
  <c r="H30" i="20"/>
  <c r="E42" i="13"/>
  <c r="E41" i="21"/>
  <c r="E39" i="20"/>
  <c r="C39" s="1"/>
  <c r="H34"/>
  <c r="E41" i="19"/>
  <c r="H27"/>
  <c r="E39"/>
  <c r="C39" s="1"/>
  <c r="E41" i="15"/>
  <c r="C41" s="1"/>
  <c r="H26"/>
  <c r="E39"/>
  <c r="C39" s="1"/>
  <c r="H29"/>
  <c r="H34"/>
  <c r="E41" i="14"/>
  <c r="C41" s="1"/>
  <c r="E39"/>
  <c r="C39" s="1"/>
  <c r="E40" i="13"/>
  <c r="C40" s="1"/>
  <c r="E41" i="12"/>
  <c r="E42" s="1"/>
  <c r="C42" s="1"/>
  <c r="E39" i="11"/>
  <c r="C39" s="1"/>
  <c r="E37"/>
  <c r="C37" s="1"/>
  <c r="E41" i="9"/>
  <c r="H29"/>
  <c r="E39"/>
  <c r="C39" s="1"/>
  <c r="E41" i="8"/>
  <c r="E39"/>
  <c r="C39" s="1"/>
  <c r="H28"/>
  <c r="E39" i="7"/>
  <c r="C39" s="1"/>
  <c r="H29" i="6"/>
  <c r="E41"/>
  <c r="C41" s="1"/>
  <c r="E39"/>
  <c r="C39" s="1"/>
  <c r="H30"/>
  <c r="E41" i="4"/>
  <c r="E42" s="1"/>
  <c r="C42" s="1"/>
  <c r="E39"/>
  <c r="C39" s="1"/>
  <c r="H31"/>
  <c r="H27"/>
  <c r="F35" i="3"/>
  <c r="F31"/>
  <c r="F29"/>
  <c r="F27"/>
  <c r="F34"/>
  <c r="H34" s="1"/>
  <c r="F30"/>
  <c r="F32"/>
  <c r="F28"/>
  <c r="G35"/>
  <c r="G31"/>
  <c r="G29"/>
  <c r="G30"/>
  <c r="G32"/>
  <c r="G28"/>
  <c r="G27"/>
  <c r="H27" s="1"/>
  <c r="H29" i="4"/>
  <c r="G36" i="13"/>
  <c r="F26" i="3"/>
  <c r="G35" i="21"/>
  <c r="G27" i="2"/>
  <c r="F36" i="13"/>
  <c r="H34" i="9"/>
  <c r="G35"/>
  <c r="G35" i="8"/>
  <c r="H28" i="5"/>
  <c r="H27" i="9"/>
  <c r="H31"/>
  <c r="H29" i="8"/>
  <c r="H34"/>
  <c r="G35" i="6"/>
  <c r="H26" i="4"/>
  <c r="F35"/>
  <c r="G35"/>
  <c r="H26" i="21"/>
  <c r="F35"/>
  <c r="H34"/>
  <c r="F35" i="20"/>
  <c r="H26" i="19"/>
  <c r="F35"/>
  <c r="G35"/>
  <c r="G36" i="18"/>
  <c r="H26"/>
  <c r="F36"/>
  <c r="H28"/>
  <c r="H30"/>
  <c r="H32"/>
  <c r="H27"/>
  <c r="H29"/>
  <c r="H31"/>
  <c r="F35" i="15"/>
  <c r="G35"/>
  <c r="H27" i="14"/>
  <c r="H29"/>
  <c r="H31"/>
  <c r="H32"/>
  <c r="H26"/>
  <c r="H28"/>
  <c r="H30"/>
  <c r="H34"/>
  <c r="G35"/>
  <c r="H26" i="13"/>
  <c r="H28"/>
  <c r="H30"/>
  <c r="H32"/>
  <c r="H27"/>
  <c r="H29"/>
  <c r="H31"/>
  <c r="H35"/>
  <c r="H26" i="12"/>
  <c r="H28"/>
  <c r="H30"/>
  <c r="H34"/>
  <c r="H32"/>
  <c r="H27"/>
  <c r="H29"/>
  <c r="H31"/>
  <c r="F35"/>
  <c r="G35"/>
  <c r="F33" i="11"/>
  <c r="H26" i="9"/>
  <c r="F35"/>
  <c r="H26" i="8"/>
  <c r="F35"/>
  <c r="H26" i="7"/>
  <c r="H28"/>
  <c r="H30"/>
  <c r="H32"/>
  <c r="H27"/>
  <c r="H31"/>
  <c r="F35"/>
  <c r="H27" i="6"/>
  <c r="H26"/>
  <c r="F35"/>
  <c r="F35" i="5"/>
  <c r="G35" i="20" l="1"/>
  <c r="E41"/>
  <c r="C41" s="1"/>
  <c r="C42" s="1"/>
  <c r="E41" i="17"/>
  <c r="C41" s="1"/>
  <c r="G35"/>
  <c r="H26"/>
  <c r="H35" s="1"/>
  <c r="E41" i="7"/>
  <c r="E42" s="1"/>
  <c r="C42" s="1"/>
  <c r="G35"/>
  <c r="E41" i="5"/>
  <c r="E42" s="1"/>
  <c r="C42" s="1"/>
  <c r="G34" i="2"/>
  <c r="H34" s="1"/>
  <c r="G30"/>
  <c r="G29"/>
  <c r="H29" s="1"/>
  <c r="G35" i="5"/>
  <c r="G28" i="2"/>
  <c r="H28" s="1"/>
  <c r="G32"/>
  <c r="G31"/>
  <c r="H33" i="11"/>
  <c r="H30" i="2"/>
  <c r="H35" i="5"/>
  <c r="H31" i="3"/>
  <c r="H30"/>
  <c r="E39" i="2"/>
  <c r="C39" s="1"/>
  <c r="H27"/>
  <c r="H35" i="19"/>
  <c r="H35" i="15"/>
  <c r="C42" i="18"/>
  <c r="E40" i="11"/>
  <c r="C40" s="1"/>
  <c r="H28" i="3"/>
  <c r="H29"/>
  <c r="H36" i="18"/>
  <c r="H35" i="20"/>
  <c r="H35" i="8"/>
  <c r="H35" i="4"/>
  <c r="C41"/>
  <c r="E42" i="3"/>
  <c r="E40"/>
  <c r="C40" s="1"/>
  <c r="H32"/>
  <c r="H35"/>
  <c r="F36"/>
  <c r="H35" i="9"/>
  <c r="G36" i="3"/>
  <c r="H35" i="21"/>
  <c r="E42" i="15"/>
  <c r="C42" s="1"/>
  <c r="H35" i="7"/>
  <c r="E42" i="14"/>
  <c r="C42" s="1"/>
  <c r="C41" i="12"/>
  <c r="E42" i="21"/>
  <c r="C42" s="1"/>
  <c r="C41"/>
  <c r="E42" i="19"/>
  <c r="C42" s="1"/>
  <c r="C41"/>
  <c r="E43" i="13"/>
  <c r="C43" s="1"/>
  <c r="C42"/>
  <c r="C41" i="9"/>
  <c r="E42"/>
  <c r="C42" s="1"/>
  <c r="E42" i="8"/>
  <c r="C42" s="1"/>
  <c r="C41"/>
  <c r="E42" i="6"/>
  <c r="C42" s="1"/>
  <c r="H35"/>
  <c r="H32" i="2"/>
  <c r="H31"/>
  <c r="H26"/>
  <c r="F35"/>
  <c r="H35" i="14"/>
  <c r="H36" i="13"/>
  <c r="H35" i="12"/>
  <c r="H26" i="3"/>
  <c r="E42" i="20" l="1"/>
  <c r="E42" i="17"/>
  <c r="C42" s="1"/>
  <c r="C41" i="7"/>
  <c r="G35" i="2"/>
  <c r="C41" i="5"/>
  <c r="E41" i="2"/>
  <c r="C41" s="1"/>
  <c r="H36" i="3"/>
  <c r="E43"/>
  <c r="C43" s="1"/>
  <c r="C42"/>
  <c r="H35" i="2"/>
  <c r="E42" l="1"/>
  <c r="C42" s="1"/>
  <c r="H27" i="1"/>
  <c r="H34"/>
  <c r="H28" l="1"/>
  <c r="H32"/>
  <c r="H30"/>
  <c r="H29"/>
  <c r="F35" l="1"/>
  <c r="H31" l="1"/>
  <c r="H35" s="1"/>
</calcChain>
</file>

<file path=xl/sharedStrings.xml><?xml version="1.0" encoding="utf-8"?>
<sst xmlns="http://schemas.openxmlformats.org/spreadsheetml/2006/main" count="1833" uniqueCount="180">
  <si>
    <t>• Адрес МКД</t>
  </si>
  <si>
    <t>• Год постройки</t>
  </si>
  <si>
    <t>• Этажность</t>
  </si>
  <si>
    <t>• Количество квартир</t>
  </si>
  <si>
    <t>• Общая площадь дома с учетом помещений
общего пользования</t>
  </si>
  <si>
    <t>• Общая площадь жилых помещений</t>
  </si>
  <si>
    <t>• Общая площадь нежилых помещений</t>
  </si>
  <si>
    <t>0 кв. м.</t>
  </si>
  <si>
    <t>• Площадь придомовой территории,
входящей в состав общего имущества МКД</t>
  </si>
  <si>
    <t>Содержание общего
имущества МКД (руб.)</t>
  </si>
  <si>
    <t>Текущий ремонт 
общего имущества 
МКД (руб.)</t>
  </si>
  <si>
    <t>1. Начислено</t>
  </si>
  <si>
    <t>2. Оплачено</t>
  </si>
  <si>
    <t>Харьковская 60</t>
  </si>
  <si>
    <t>2767,8 кв. м.</t>
  </si>
  <si>
    <t>352 кв. м. - асфальт</t>
  </si>
  <si>
    <t>Харьковская 62</t>
  </si>
  <si>
    <t>2769,5 кв. м.</t>
  </si>
  <si>
    <t>3684,1 кв. м. - грунт;
1193,7 кв. м. - асфальт</t>
  </si>
  <si>
    <t>Харьковская 62а</t>
  </si>
  <si>
    <t>3415,9 кв. м.</t>
  </si>
  <si>
    <t>Харьковская 68</t>
  </si>
  <si>
    <t>2112,3 кв. м.</t>
  </si>
  <si>
    <t>43,9 кв. м.</t>
  </si>
  <si>
    <t>1742,3 кв. м. - грунт;
281 кв. м. - асфальт</t>
  </si>
  <si>
    <t>Харьковская 68а</t>
  </si>
  <si>
    <t>2122,2 кв. м.</t>
  </si>
  <si>
    <t>1870,8 кв. м. - грунт;
281 кв. м. - асфальт</t>
  </si>
  <si>
    <t>Харьковская 70</t>
  </si>
  <si>
    <t>1576,1 кв. м.</t>
  </si>
  <si>
    <t>Харьковская 70а</t>
  </si>
  <si>
    <t>1571,9 кв. м.</t>
  </si>
  <si>
    <t>2403 кв. м. - грунт;
210 кв. м. - асфальт</t>
  </si>
  <si>
    <t>Харьковская 72</t>
  </si>
  <si>
    <t>2705,4 кв. м.</t>
  </si>
  <si>
    <t>170,3 кв. м.</t>
  </si>
  <si>
    <t>Харьковская 72а</t>
  </si>
  <si>
    <t>1589,3 кв. м.</t>
  </si>
  <si>
    <t>1869,8 кв. м. - грунт;
210 кв. м. - асфальт</t>
  </si>
  <si>
    <t>Харьковская 80</t>
  </si>
  <si>
    <t>1570,79 кв. м.</t>
  </si>
  <si>
    <t>89 кв. м.</t>
  </si>
  <si>
    <t>3237,6 кв. м. - грунт;
210 кв. м. - асфальт</t>
  </si>
  <si>
    <t>Харьковская 82</t>
  </si>
  <si>
    <t>2742,8 кв. м.</t>
  </si>
  <si>
    <t>5145 кв. м. - грунт;
352 кв. м. - асфальт</t>
  </si>
  <si>
    <t>Харьковская 84в</t>
  </si>
  <si>
    <t>2041 кв. м.</t>
  </si>
  <si>
    <t>Харьковская 86а</t>
  </si>
  <si>
    <t>2219,1 кв. м.</t>
  </si>
  <si>
    <t>2057,9 кв. м. - грунт;
454,2 кв. м. - асфальт</t>
  </si>
  <si>
    <t>Харьковская 88</t>
  </si>
  <si>
    <t>2134 кв. м.</t>
  </si>
  <si>
    <t>2122 кв. м. - грунт;
281 кв. м. - асфальт</t>
  </si>
  <si>
    <t>Харьковская 92</t>
  </si>
  <si>
    <t>1581,2 кв. м.</t>
  </si>
  <si>
    <t>2602,5 кв. м. - грунт;
342,9 кв. м. - асфальт</t>
  </si>
  <si>
    <t>Харьковская 92а</t>
  </si>
  <si>
    <t>1559 кв. м.</t>
  </si>
  <si>
    <t>55,4 кв. м.</t>
  </si>
  <si>
    <t>2053,3 кв. м. - грунт;
210 кв. м. - асфальт</t>
  </si>
  <si>
    <t>Харьковская 94</t>
  </si>
  <si>
    <t>1618,9 кв. м.</t>
  </si>
  <si>
    <t>2096,7 кв. м. - грунт;
277,3 кв. м. - асфальт</t>
  </si>
  <si>
    <t>Харьковская 96</t>
  </si>
  <si>
    <t>2742,1 кв. м.</t>
  </si>
  <si>
    <t xml:space="preserve"> кв. м.</t>
  </si>
  <si>
    <t xml:space="preserve"> кв. м. - грунт;кв. м. - асфальт</t>
  </si>
  <si>
    <t>Харьковская 96а</t>
  </si>
  <si>
    <t>1568,3 кв. м.</t>
  </si>
  <si>
    <t xml:space="preserve"> 0 кв. м.</t>
  </si>
  <si>
    <t>2525 кв. м. - грунт;
287,1 кв. м. - асфальт</t>
  </si>
  <si>
    <t>Харьковская 98</t>
  </si>
  <si>
    <t>2821,6 кв. м.</t>
  </si>
  <si>
    <t>Харьковская 100</t>
  </si>
  <si>
    <t>2706,9 кв. м.</t>
  </si>
  <si>
    <t>4323 кв. м. - грунт;
352 кв. м. - асфальт</t>
  </si>
  <si>
    <t>Директор ООО "Партнер-1"</t>
  </si>
  <si>
    <t>Главный бухгалтер ООО "Партнер-1"</t>
  </si>
  <si>
    <t>Экономист ООО "Партнер-1"</t>
  </si>
  <si>
    <t>Инженер по ремонту ООО "Партнер-1"</t>
  </si>
  <si>
    <t>Плановые затраты (руб.)</t>
  </si>
  <si>
    <t>Фактические затраты (руб.)</t>
  </si>
  <si>
    <t>Транспортные расходы при санитарной очистке территорий</t>
  </si>
  <si>
    <t>Техническое обслуживание внутридомового газового 
оборудования</t>
  </si>
  <si>
    <t>Рентабельность</t>
  </si>
  <si>
    <r>
      <rPr>
        <b/>
        <sz val="10"/>
        <color theme="1"/>
        <rFont val="Times New Roman"/>
        <family val="1"/>
        <charset val="204"/>
      </rPr>
      <t>Санитарное содержание лестничных клеток:</t>
    </r>
    <r>
      <rPr>
        <sz val="10"/>
        <color theme="1"/>
        <rFont val="Times New Roman"/>
        <family val="1"/>
        <charset val="204"/>
      </rPr>
      <t xml:space="preserve">
- оплата труда рабочих;
- затраты на материалы, инвентарь.</t>
    </r>
  </si>
  <si>
    <r>
      <rPr>
        <b/>
        <sz val="10"/>
        <color theme="1"/>
        <rFont val="Times New Roman"/>
        <family val="1"/>
        <charset val="204"/>
      </rPr>
      <t>Содержание аварийно-диспетчерской службы:</t>
    </r>
    <r>
      <rPr>
        <sz val="10"/>
        <color theme="1"/>
        <rFont val="Times New Roman"/>
        <family val="1"/>
        <charset val="204"/>
      </rPr>
      <t xml:space="preserve">
- оплата труда рабочих;
- затраты на инвентарь, спецодежду;
- транспортные расходы</t>
    </r>
  </si>
  <si>
    <t>3.Выполнено</t>
  </si>
  <si>
    <t>Итого</t>
  </si>
  <si>
    <r>
      <rPr>
        <b/>
        <sz val="10"/>
        <color theme="1"/>
        <rFont val="Times New Roman"/>
        <family val="1"/>
        <charset val="204"/>
      </rPr>
      <t>Санитарное содержание придомовой территории:</t>
    </r>
    <r>
      <rPr>
        <sz val="10"/>
        <color theme="1"/>
        <rFont val="Times New Roman"/>
        <family val="1"/>
        <charset val="204"/>
      </rPr>
      <t xml:space="preserve">
- оплата труда рабочих;
- затраты на материалы инвентарь;
- покос сорных трав</t>
    </r>
  </si>
  <si>
    <t xml:space="preserve">Текущий ремонт </t>
  </si>
  <si>
    <t>Обслуживание ОПУ тепловой энергии</t>
  </si>
  <si>
    <t>Т. В. Павлова</t>
  </si>
  <si>
    <t>Виды работ и затрат</t>
  </si>
  <si>
    <t>периодичность выполнения работ и услуг</t>
  </si>
  <si>
    <t>стоимость выполненной работы/оказанной услуги</t>
  </si>
  <si>
    <t>согласно договора  управления МКД</t>
  </si>
  <si>
    <t>руб.</t>
  </si>
  <si>
    <t xml:space="preserve">согласно договора  </t>
  </si>
  <si>
    <t>постоянно</t>
  </si>
  <si>
    <t>начислено всего</t>
  </si>
  <si>
    <r>
      <rPr>
        <b/>
        <sz val="10"/>
        <color theme="1"/>
        <rFont val="Times New Roman"/>
        <family val="1"/>
        <charset val="204"/>
      </rPr>
      <t>Профилактические осмотры внутридомового инженерного
оборудования и конструктивных элементов МКД:</t>
    </r>
    <r>
      <rPr>
        <sz val="10"/>
        <color theme="1"/>
        <rFont val="Times New Roman"/>
        <family val="1"/>
        <charset val="204"/>
      </rPr>
      <t xml:space="preserve">
- затраты на весенние и осенние проверки готовности МКД к эксплуатации;
- затраты на внеочередные осмотры (после ливней, ураганных ветров, снегопадов и других явлений стихийного характера; в случае аварий на внешних коммуникациях и др.);
- ведение документов по учету технического состояния зданий</t>
    </r>
  </si>
  <si>
    <t>3187.2 кв. м</t>
  </si>
  <si>
    <t>1850.6 кв. м.</t>
  </si>
  <si>
    <t>1995,6 кв. м.</t>
  </si>
  <si>
    <t>1471,2 кв. м</t>
  </si>
  <si>
    <t>1495,1 кв. м</t>
  </si>
  <si>
    <t>2349,1 кв. м</t>
  </si>
  <si>
    <t>1511,7 кв. м.</t>
  </si>
  <si>
    <t>1389.1 кв. м</t>
  </si>
  <si>
    <t>2567,1 кв. м</t>
  </si>
  <si>
    <t>2065.0 кв. м.</t>
  </si>
  <si>
    <t>1993,5 кв. м.</t>
  </si>
  <si>
    <t>1413,4 кв. м.</t>
  </si>
  <si>
    <t>2622,7 кв. м.</t>
  </si>
  <si>
    <t>единица измерения работы/              услуги</t>
  </si>
  <si>
    <r>
      <rPr>
        <b/>
        <sz val="10"/>
        <color theme="1"/>
        <rFont val="Times New Roman"/>
        <family val="1"/>
        <charset val="204"/>
      </rPr>
      <t>Санитарное содержание придомовой территории:</t>
    </r>
    <r>
      <rPr>
        <sz val="10"/>
        <color theme="1"/>
        <rFont val="Times New Roman"/>
        <family val="1"/>
        <charset val="204"/>
      </rPr>
      <t xml:space="preserve">
- оплата труда рабочих;
- затраты на материалы, инвентарь;
- покос сорных трав</t>
    </r>
  </si>
  <si>
    <t>Приложение № 1</t>
  </si>
  <si>
    <t>Приложение № 4</t>
  </si>
  <si>
    <t>к протоколу №____общего собрания собственников</t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</si>
  <si>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-амортизация;                                                                                     - транспортные расходы;                                                                   - затраты на канц. товары, телефонную связь, на орг. технику;                  - услуги банка, статистики;                                                                  - услуги информационно-вычислительного центра.</t>
    </r>
  </si>
  <si>
    <t>Разница                       (+) экономия, (-) долг</t>
  </si>
  <si>
    <t>2580.1 кв. м</t>
  </si>
  <si>
    <t>2569.3 кв. м</t>
  </si>
  <si>
    <t>1806.1 кв. м</t>
  </si>
  <si>
    <t>1492.1 кв. м</t>
  </si>
  <si>
    <t>1476,3 кв. м</t>
  </si>
  <si>
    <t>2551.9 кв. м</t>
  </si>
  <si>
    <t>1479,1 кв. м</t>
  </si>
  <si>
    <t>2357,2 кв. м</t>
  </si>
  <si>
    <t>161,6 кв. м</t>
  </si>
  <si>
    <t>42,5 кв. м.</t>
  </si>
  <si>
    <t>согласно договора  оказания услуг по содержанию и выполнению работ по ремонту общего имущества МКД</t>
  </si>
  <si>
    <t>круглосуточно</t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</si>
  <si>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                            - информационно-разъяснительная работа с собственниками            -амортизация;                                                                                     - транспортные расходы;                                                                   - затраты на канц. товары, телефонную связь, на орг. технику;                  - услуги банка, статистики;                                                                  - услуги информационно-вычислительного центра.</t>
    </r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</si>
  <si>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-амортизация;                                                                                     - транспортные расходы;                                                                            -затраты на канц. товары, телефонную связь, на орг. технику;                  - услуги банка, статистики;                                                                  - услуги информационно-вычислительного центра.</t>
    </r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</si>
  <si>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         -амортизация;                                                                                            - транспортные расходы;                                                                   - затраты на канц. товары, телефонную связь, на орг. технику;                  - услуги банка, статистики;                                                                  - услуги информационно-вычислительного центра.</t>
    </r>
  </si>
  <si>
    <r>
      <rPr>
        <b/>
        <sz val="10"/>
        <rFont val="Times New Roman"/>
        <family val="1"/>
        <charset val="204"/>
      </rPr>
      <t>Санитарное содержание лестничных клеток:</t>
    </r>
    <r>
      <rPr>
        <sz val="10"/>
        <rFont val="Times New Roman"/>
        <family val="1"/>
        <charset val="204"/>
      </rPr>
      <t xml:space="preserve">
- оплата труда рабочих;
- затраты на материалы, инвентарь.</t>
    </r>
  </si>
  <si>
    <r>
      <rPr>
        <b/>
        <sz val="10"/>
        <rFont val="Times New Roman"/>
        <family val="1"/>
        <charset val="204"/>
      </rPr>
      <t>Санитарное содержание придомовой территории:</t>
    </r>
    <r>
      <rPr>
        <sz val="10"/>
        <rFont val="Times New Roman"/>
        <family val="1"/>
        <charset val="204"/>
      </rPr>
      <t xml:space="preserve">
- оплата труда рабочих;
- затраты на материалы инвентарь;
- покос сорных трав</t>
    </r>
  </si>
  <si>
    <r>
      <rPr>
        <b/>
        <sz val="10"/>
        <rFont val="Times New Roman"/>
        <family val="1"/>
        <charset val="204"/>
      </rPr>
      <t>Содержание аварийно-диспетчерской службы:</t>
    </r>
    <r>
      <rPr>
        <sz val="10"/>
        <rFont val="Times New Roman"/>
        <family val="1"/>
        <charset val="204"/>
      </rPr>
      <t xml:space="preserve">
- оплата труда рабочих;
- затраты на инвентарь, спецодежду;
- транспортные расходы</t>
    </r>
  </si>
  <si>
    <r>
      <rPr>
        <b/>
        <sz val="10"/>
        <rFont val="Times New Roman"/>
        <family val="1"/>
        <charset val="204"/>
      </rPr>
      <t>Общеэксплуатационные расходы:</t>
    </r>
    <r>
      <rPr>
        <sz val="10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-амортизация;                                                                                     - транспортные расходы;                                                                   - затраты на канц. товары, телефонную связь, на орг. технику;                  - услуги банка, статистики;                                                                  - услуги информационно-вычислительного центра.</t>
    </r>
  </si>
  <si>
    <r>
      <rPr>
        <b/>
        <sz val="10"/>
        <rFont val="Times New Roman"/>
        <family val="1"/>
        <charset val="204"/>
      </rPr>
      <t>Профилактические осмотры внутридомового инженерного
оборудования и конструктивных элементов МКД:</t>
    </r>
    <r>
      <rPr>
        <sz val="10"/>
        <rFont val="Times New Roman"/>
        <family val="1"/>
        <charset val="204"/>
      </rPr>
      <t xml:space="preserve">
- затраты на весенние и осенние проверки готовности МКД к эксплуатации;
- затраты на внеочередные осмотры (после ливней, ураганных ветров, снегопадов и других явлений стихийного характера; в случае аварий на внешних коммуникациях и др.);
- ведение документов по учету технического состояния зданий</t>
    </r>
  </si>
  <si>
    <r>
      <t>4.Остаток на начало отчетного периода</t>
    </r>
    <r>
      <rPr>
        <sz val="8"/>
        <color theme="1"/>
        <rFont val="Times New Roman"/>
        <family val="1"/>
        <charset val="204"/>
      </rPr>
      <t xml:space="preserve"> ("Оплачено" минус "Выполнено")
("-" - перевыполнено работ (долг); "+" - недовыполнено работ (экономия))</t>
    </r>
  </si>
  <si>
    <r>
      <t>4.Остаток на конец отчетного периода</t>
    </r>
    <r>
      <rPr>
        <sz val="8"/>
        <color theme="1"/>
        <rFont val="Times New Roman"/>
        <family val="1"/>
        <charset val="204"/>
      </rPr>
      <t xml:space="preserve"> ("Оплачено" минус "Выполнено")
("-" - перевыполнено работ (долг); "+" - недовыполнено работ (экономия))</t>
    </r>
  </si>
  <si>
    <t>начислено содержание жилья</t>
  </si>
  <si>
    <t>факт содержание жилья</t>
  </si>
  <si>
    <t>_________________________</t>
  </si>
  <si>
    <t>__________________________</t>
  </si>
  <si>
    <t>помещения МКД № 60 по ул. Харьковская, г. Новошахтинска</t>
  </si>
  <si>
    <t>помещения МКД № 62  по ул.Харьковская, г. Новошахтинска</t>
  </si>
  <si>
    <t>помещения МКД № 62А по ул. Харьковская, г. Новошахтинска</t>
  </si>
  <si>
    <t>помещения МКД № 68 по ул. Харьковская, г. Новошахтинска</t>
  </si>
  <si>
    <t>помещения МКД № 68А по ул. Харьковская, г. Новошахтинска</t>
  </si>
  <si>
    <t>помещения МКД № 70 по ул. Харьковская, г. Новошахтинска</t>
  </si>
  <si>
    <t>помещения МКД № 70А по ул. Харьковская, г. Новошахтинска</t>
  </si>
  <si>
    <t>помещения МКД № 72 по ул. Харьковская, г. Новошахтинска</t>
  </si>
  <si>
    <t>помещения МКД № 72А по ул. Харьковская, г. Новошахтинска</t>
  </si>
  <si>
    <t>помещения МКД № 82 по ул. Харьковская, г. Новошахтинска</t>
  </si>
  <si>
    <t>помещения МКД № 84В по ул. Харьковская, г. Новошахтинска</t>
  </si>
  <si>
    <t>помещения МКД № 86А по ул. Харьковская, г. Новошахтинска</t>
  </si>
  <si>
    <t>помещения МКД № 88 по ул. Харьковская, г. Новошахтинска</t>
  </si>
  <si>
    <t>помещения МКД № 92 по ул. Харьковская, г. Новошахтинска</t>
  </si>
  <si>
    <t>помещения МКД № 92А по ул. Харьковская, г. Новошахтинска</t>
  </si>
  <si>
    <t>помещения МКД № 94 по ул. Харьковская, г. Новошахтинска</t>
  </si>
  <si>
    <t>помещения МКД № 96 по ул. Харьковская г. Новошахтинска</t>
  </si>
  <si>
    <t>помещения МКД № 96А по ул. Харьковская, г. Новошахтинска</t>
  </si>
  <si>
    <t>помещения МКД № 98 по ул. Харьковская, г. Новошахтинска</t>
  </si>
  <si>
    <t>помещения МКД № 100  по ул. Харьковская, г. Новошахтинска</t>
  </si>
  <si>
    <t>Р.А. Абдуллаев</t>
  </si>
  <si>
    <t>Н.Е. Потокина</t>
  </si>
  <si>
    <t>период с 01.07.2013 года по 01.01.2024 года</t>
  </si>
  <si>
    <t>Переходящие остатки денежных средств на 01.01.2025 года</t>
  </si>
  <si>
    <t>период с 01.07.2013 года по 01.01.2025 года</t>
  </si>
  <si>
    <t>от _______________________2026 г.</t>
  </si>
  <si>
    <t>Ежегодный отчет Управляющей организации ООО "Партнер-1" о выполнении Договора о деятельности за отчетный период с 01.01.2025 г. по 31.12.2025 г.</t>
  </si>
  <si>
    <t>Отчет об оказанных услугах и выполненных работах по содержанию и текущему ремонту общего имущества в МКД за 2025 год</t>
  </si>
  <si>
    <t>ст-ть на 1 кв. м общей жилой  площади (руб. в мес.)  2025</t>
  </si>
  <si>
    <t>Переходящие остатки денежных средств на 01.01.2026 года</t>
  </si>
  <si>
    <t>период с 01.07.2013 года по 01.01.2026 года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</si>
</sst>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2" fillId="0" borderId="0" xfId="0" applyFont="1" applyFill="1" applyAlignment="1">
      <alignment horizontal="center" vertical="center"/>
    </xf>
    <xf numFmtId="2" fontId="4" fillId="0" borderId="0" xfId="0" applyNumberFormat="1" applyFont="1" applyFill="1"/>
    <xf numFmtId="2" fontId="2" fillId="0" borderId="0" xfId="0" applyNumberFormat="1" applyFont="1" applyFill="1"/>
    <xf numFmtId="0" fontId="5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2" fontId="2" fillId="0" borderId="0" xfId="0" applyNumberFormat="1" applyFont="1" applyFill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vertical="top" wrapText="1"/>
    </xf>
    <xf numFmtId="0" fontId="10" fillId="0" borderId="26" xfId="0" applyFont="1" applyFill="1" applyBorder="1" applyAlignment="1">
      <alignment horizontal="left" vertical="center" wrapText="1"/>
    </xf>
    <xf numFmtId="0" fontId="10" fillId="0" borderId="26" xfId="0" applyFont="1" applyFill="1" applyBorder="1" applyAlignment="1">
      <alignment horizontal="center" vertical="center" wrapText="1"/>
    </xf>
    <xf numFmtId="2" fontId="5" fillId="0" borderId="31" xfId="0" applyNumberFormat="1" applyFont="1" applyFill="1" applyBorder="1" applyAlignment="1">
      <alignment horizontal="center" vertical="center"/>
    </xf>
    <xf numFmtId="2" fontId="5" fillId="0" borderId="7" xfId="0" applyNumberFormat="1" applyFont="1" applyFill="1" applyBorder="1" applyAlignment="1">
      <alignment horizontal="center" vertical="center" wrapText="1"/>
    </xf>
    <xf numFmtId="2" fontId="5" fillId="0" borderId="30" xfId="0" applyNumberFormat="1" applyFont="1" applyFill="1" applyBorder="1" applyAlignment="1">
      <alignment horizontal="center" vertical="center" wrapText="1"/>
    </xf>
    <xf numFmtId="2" fontId="3" fillId="0" borderId="2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/>
    <xf numFmtId="0" fontId="5" fillId="0" borderId="7" xfId="0" applyFont="1" applyFill="1" applyBorder="1" applyAlignment="1">
      <alignment vertical="top" wrapText="1"/>
    </xf>
    <xf numFmtId="2" fontId="5" fillId="0" borderId="15" xfId="0" applyNumberFormat="1" applyFont="1" applyFill="1" applyBorder="1" applyAlignment="1">
      <alignment horizontal="center" vertical="center"/>
    </xf>
    <xf numFmtId="2" fontId="5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7" xfId="0" applyFont="1" applyFill="1" applyBorder="1" applyAlignment="1">
      <alignment vertical="top" wrapText="1"/>
    </xf>
    <xf numFmtId="0" fontId="2" fillId="0" borderId="0" xfId="0" applyFont="1" applyFill="1" applyBorder="1"/>
    <xf numFmtId="0" fontId="10" fillId="0" borderId="8" xfId="0" applyFont="1" applyFill="1" applyBorder="1" applyAlignment="1">
      <alignment horizontal="left" wrapText="1"/>
    </xf>
    <xf numFmtId="0" fontId="3" fillId="0" borderId="42" xfId="0" applyFont="1" applyFill="1" applyBorder="1"/>
    <xf numFmtId="0" fontId="10" fillId="0" borderId="38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center" vertical="center" wrapText="1"/>
    </xf>
    <xf numFmtId="2" fontId="5" fillId="0" borderId="39" xfId="0" applyNumberFormat="1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2" xfId="0" applyFont="1" applyFill="1" applyBorder="1"/>
    <xf numFmtId="2" fontId="3" fillId="0" borderId="2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41" xfId="0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5" fillId="0" borderId="0" xfId="0" applyFont="1" applyFill="1" applyBorder="1"/>
    <xf numFmtId="2" fontId="5" fillId="0" borderId="0" xfId="0" applyNumberFormat="1" applyFont="1" applyFill="1" applyBorder="1" applyAlignment="1"/>
    <xf numFmtId="2" fontId="5" fillId="0" borderId="0" xfId="0" applyNumberFormat="1" applyFont="1" applyFill="1" applyBorder="1"/>
    <xf numFmtId="0" fontId="3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wrapText="1"/>
    </xf>
    <xf numFmtId="2" fontId="5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0" fontId="3" fillId="0" borderId="42" xfId="0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2" fillId="0" borderId="0" xfId="0" applyFont="1" applyFill="1" applyAlignment="1">
      <alignment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center" wrapText="1"/>
    </xf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/>
    <xf numFmtId="0" fontId="14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center" vertical="center" wrapText="1"/>
    </xf>
    <xf numFmtId="2" fontId="12" fillId="0" borderId="0" xfId="0" applyNumberFormat="1" applyFont="1" applyFill="1"/>
    <xf numFmtId="0" fontId="13" fillId="0" borderId="29" xfId="0" applyFont="1" applyFill="1" applyBorder="1" applyAlignment="1">
      <alignment vertical="top" wrapText="1"/>
    </xf>
    <xf numFmtId="0" fontId="17" fillId="0" borderId="26" xfId="0" applyFont="1" applyFill="1" applyBorder="1" applyAlignment="1">
      <alignment horizontal="left" vertical="center" wrapText="1"/>
    </xf>
    <xf numFmtId="0" fontId="18" fillId="0" borderId="26" xfId="0" applyFont="1" applyFill="1" applyBorder="1" applyAlignment="1">
      <alignment horizontal="center" vertical="center" wrapText="1"/>
    </xf>
    <xf numFmtId="2" fontId="13" fillId="0" borderId="31" xfId="0" applyNumberFormat="1" applyFont="1" applyFill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 wrapText="1"/>
    </xf>
    <xf numFmtId="2" fontId="13" fillId="0" borderId="30" xfId="0" applyNumberFormat="1" applyFont="1" applyFill="1" applyBorder="1" applyAlignment="1">
      <alignment horizontal="center" vertical="center" wrapText="1"/>
    </xf>
    <xf numFmtId="2" fontId="16" fillId="0" borderId="24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2" fontId="16" fillId="0" borderId="0" xfId="0" applyNumberFormat="1" applyFont="1" applyFill="1"/>
    <xf numFmtId="0" fontId="13" fillId="0" borderId="7" xfId="0" applyFont="1" applyFill="1" applyBorder="1" applyAlignment="1">
      <alignment vertical="top" wrapText="1"/>
    </xf>
    <xf numFmtId="2" fontId="13" fillId="0" borderId="15" xfId="0" applyNumberFormat="1" applyFont="1" applyFill="1" applyBorder="1" applyAlignment="1">
      <alignment horizontal="center" vertical="center"/>
    </xf>
    <xf numFmtId="0" fontId="15" fillId="0" borderId="0" xfId="0" applyFont="1" applyFill="1" applyBorder="1"/>
    <xf numFmtId="0" fontId="15" fillId="0" borderId="0" xfId="0" applyFont="1" applyFill="1"/>
    <xf numFmtId="2" fontId="15" fillId="0" borderId="0" xfId="0" applyNumberFormat="1" applyFont="1" applyFill="1"/>
    <xf numFmtId="0" fontId="16" fillId="0" borderId="7" xfId="0" applyFont="1" applyFill="1" applyBorder="1" applyAlignment="1">
      <alignment vertical="top" wrapText="1"/>
    </xf>
    <xf numFmtId="0" fontId="12" fillId="0" borderId="0" xfId="0" applyFont="1" applyFill="1" applyBorder="1"/>
    <xf numFmtId="0" fontId="18" fillId="0" borderId="8" xfId="0" applyFont="1" applyFill="1" applyBorder="1" applyAlignment="1">
      <alignment horizontal="left" wrapText="1"/>
    </xf>
    <xf numFmtId="0" fontId="18" fillId="0" borderId="26" xfId="0" applyFont="1" applyFill="1" applyBorder="1" applyAlignment="1">
      <alignment horizontal="left" vertical="center" wrapText="1"/>
    </xf>
    <xf numFmtId="2" fontId="13" fillId="0" borderId="10" xfId="0" applyNumberFormat="1" applyFont="1" applyFill="1" applyBorder="1" applyAlignment="1">
      <alignment horizontal="center" vertical="center" wrapText="1"/>
    </xf>
    <xf numFmtId="0" fontId="16" fillId="0" borderId="42" xfId="0" applyFont="1" applyFill="1" applyBorder="1" applyAlignment="1">
      <alignment vertical="top" wrapText="1"/>
    </xf>
    <xf numFmtId="0" fontId="18" fillId="0" borderId="38" xfId="0" applyFont="1" applyFill="1" applyBorder="1" applyAlignment="1">
      <alignment horizontal="left"/>
    </xf>
    <xf numFmtId="0" fontId="18" fillId="0" borderId="14" xfId="0" applyFont="1" applyFill="1" applyBorder="1" applyAlignment="1">
      <alignment horizontal="center" vertical="center" wrapText="1"/>
    </xf>
    <xf numFmtId="2" fontId="13" fillId="0" borderId="39" xfId="0" applyNumberFormat="1" applyFont="1" applyFill="1" applyBorder="1" applyAlignment="1">
      <alignment horizontal="center" vertical="center"/>
    </xf>
    <xf numFmtId="0" fontId="16" fillId="0" borderId="1" xfId="0" applyFont="1" applyFill="1" applyBorder="1"/>
    <xf numFmtId="0" fontId="16" fillId="0" borderId="2" xfId="0" applyFont="1" applyFill="1" applyBorder="1"/>
    <xf numFmtId="2" fontId="16" fillId="0" borderId="1" xfId="0" applyNumberFormat="1" applyFont="1" applyFill="1" applyBorder="1" applyAlignment="1">
      <alignment horizontal="center" vertical="center" wrapText="1"/>
    </xf>
    <xf numFmtId="2" fontId="16" fillId="0" borderId="41" xfId="0" applyNumberFormat="1" applyFont="1" applyFill="1" applyBorder="1" applyAlignment="1">
      <alignment horizontal="center" vertical="center"/>
    </xf>
    <xf numFmtId="2" fontId="16" fillId="0" borderId="22" xfId="0" applyNumberFormat="1" applyFont="1" applyFill="1" applyBorder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wrapText="1"/>
    </xf>
    <xf numFmtId="0" fontId="13" fillId="0" borderId="33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2" fontId="13" fillId="0" borderId="33" xfId="0" applyNumberFormat="1" applyFont="1" applyFill="1" applyBorder="1" applyAlignment="1"/>
    <xf numFmtId="2" fontId="13" fillId="0" borderId="0" xfId="0" applyNumberFormat="1" applyFont="1" applyFill="1" applyBorder="1" applyAlignment="1"/>
    <xf numFmtId="0" fontId="13" fillId="0" borderId="0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wrapText="1"/>
    </xf>
    <xf numFmtId="0" fontId="13" fillId="0" borderId="0" xfId="0" applyFont="1" applyFill="1" applyAlignment="1">
      <alignment horizontal="center" vertical="center" wrapText="1"/>
    </xf>
    <xf numFmtId="0" fontId="16" fillId="0" borderId="0" xfId="0" applyFont="1" applyFill="1" applyAlignment="1"/>
    <xf numFmtId="164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10" fillId="0" borderId="8" xfId="0" applyFont="1" applyFill="1" applyBorder="1" applyAlignment="1">
      <alignment horizontal="left"/>
    </xf>
    <xf numFmtId="0" fontId="3" fillId="0" borderId="11" xfId="0" applyFont="1" applyFill="1" applyBorder="1"/>
    <xf numFmtId="0" fontId="3" fillId="0" borderId="12" xfId="0" applyFont="1" applyFill="1" applyBorder="1"/>
    <xf numFmtId="2" fontId="3" fillId="0" borderId="16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3" fillId="0" borderId="28" xfId="0" applyFont="1" applyFill="1" applyBorder="1" applyAlignment="1"/>
    <xf numFmtId="0" fontId="4" fillId="0" borderId="0" xfId="0" applyFont="1" applyFill="1" applyBorder="1" applyAlignment="1">
      <alignment horizontal="center" wrapText="1" shrinkToFit="1"/>
    </xf>
    <xf numFmtId="0" fontId="11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/>
    <xf numFmtId="2" fontId="3" fillId="0" borderId="0" xfId="0" applyNumberFormat="1" applyFont="1" applyFill="1" applyBorder="1" applyAlignment="1">
      <alignment horizontal="center" wrapText="1"/>
    </xf>
    <xf numFmtId="2" fontId="3" fillId="0" borderId="28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center" wrapText="1"/>
    </xf>
    <xf numFmtId="2" fontId="3" fillId="0" borderId="44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/>
    <xf numFmtId="0" fontId="5" fillId="0" borderId="7" xfId="0" applyFont="1" applyFill="1" applyBorder="1"/>
    <xf numFmtId="0" fontId="5" fillId="0" borderId="23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28" xfId="0" applyFont="1" applyFill="1" applyBorder="1" applyAlignment="1">
      <alignment wrapText="1"/>
    </xf>
    <xf numFmtId="2" fontId="3" fillId="0" borderId="28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left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2" fontId="5" fillId="0" borderId="33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2" fontId="5" fillId="0" borderId="0" xfId="0" applyNumberFormat="1" applyFont="1" applyFill="1" applyBorder="1" applyAlignment="1">
      <alignment horizontal="center"/>
    </xf>
    <xf numFmtId="2" fontId="3" fillId="0" borderId="33" xfId="0" applyNumberFormat="1" applyFont="1" applyFill="1" applyBorder="1" applyAlignment="1">
      <alignment horizontal="center"/>
    </xf>
    <xf numFmtId="0" fontId="10" fillId="0" borderId="0" xfId="0" applyFont="1" applyFill="1"/>
    <xf numFmtId="2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wrapText="1"/>
    </xf>
    <xf numFmtId="2" fontId="10" fillId="0" borderId="0" xfId="0" applyNumberFormat="1" applyFont="1" applyFill="1" applyAlignment="1">
      <alignment horizontal="center" vertical="center" wrapText="1"/>
    </xf>
    <xf numFmtId="165" fontId="10" fillId="0" borderId="0" xfId="0" applyNumberFormat="1" applyFont="1" applyFill="1" applyAlignment="1">
      <alignment horizontal="center" vertical="center"/>
    </xf>
    <xf numFmtId="165" fontId="10" fillId="0" borderId="0" xfId="0" applyNumberFormat="1" applyFont="1" applyFill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 wrapText="1"/>
    </xf>
    <xf numFmtId="2" fontId="12" fillId="0" borderId="0" xfId="0" applyNumberFormat="1" applyFont="1" applyFill="1" applyBorder="1"/>
    <xf numFmtId="0" fontId="19" fillId="0" borderId="0" xfId="0" applyFont="1" applyFill="1"/>
    <xf numFmtId="0" fontId="20" fillId="0" borderId="0" xfId="0" applyFont="1" applyFill="1"/>
    <xf numFmtId="0" fontId="19" fillId="0" borderId="0" xfId="0" applyFont="1" applyFill="1" applyAlignment="1">
      <alignment horizontal="center" vertical="center"/>
    </xf>
    <xf numFmtId="0" fontId="21" fillId="0" borderId="0" xfId="0" applyFont="1" applyFill="1" applyBorder="1"/>
    <xf numFmtId="0" fontId="5" fillId="0" borderId="0" xfId="0" applyFont="1" applyFill="1" applyAlignment="1">
      <alignment horizontal="center"/>
    </xf>
    <xf numFmtId="2" fontId="16" fillId="0" borderId="21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2" fontId="21" fillId="0" borderId="0" xfId="0" applyNumberFormat="1" applyFont="1" applyFill="1" applyBorder="1"/>
    <xf numFmtId="0" fontId="19" fillId="0" borderId="0" xfId="0" applyFont="1" applyFill="1" applyBorder="1"/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2" fontId="13" fillId="0" borderId="0" xfId="0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Fill="1" applyBorder="1"/>
    <xf numFmtId="0" fontId="13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19" fillId="0" borderId="9" xfId="0" applyFont="1" applyFill="1" applyBorder="1"/>
    <xf numFmtId="164" fontId="19" fillId="0" borderId="9" xfId="0" applyNumberFormat="1" applyFont="1" applyFill="1" applyBorder="1"/>
    <xf numFmtId="2" fontId="19" fillId="0" borderId="9" xfId="0" applyNumberFormat="1" applyFont="1" applyFill="1" applyBorder="1"/>
    <xf numFmtId="2" fontId="21" fillId="0" borderId="0" xfId="0" applyNumberFormat="1" applyFont="1" applyFill="1"/>
    <xf numFmtId="0" fontId="21" fillId="0" borderId="0" xfId="0" applyFont="1" applyFill="1"/>
    <xf numFmtId="0" fontId="22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wrapText="1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9" fillId="0" borderId="40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2" fontId="5" fillId="0" borderId="31" xfId="0" applyNumberFormat="1" applyFont="1" applyFill="1" applyBorder="1" applyAlignment="1">
      <alignment horizontal="center"/>
    </xf>
    <xf numFmtId="2" fontId="5" fillId="0" borderId="26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2" fontId="5" fillId="0" borderId="8" xfId="0" applyNumberFormat="1" applyFont="1" applyFill="1" applyBorder="1" applyAlignment="1">
      <alignment horizontal="center"/>
    </xf>
    <xf numFmtId="2" fontId="5" fillId="0" borderId="39" xfId="0" applyNumberFormat="1" applyFont="1" applyFill="1" applyBorder="1" applyAlignment="1">
      <alignment horizontal="center"/>
    </xf>
    <xf numFmtId="2" fontId="5" fillId="0" borderId="38" xfId="0" applyNumberFormat="1" applyFont="1" applyFill="1" applyBorder="1" applyAlignment="1">
      <alignment horizontal="center"/>
    </xf>
    <xf numFmtId="2" fontId="3" fillId="0" borderId="21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 shrinkToFit="1"/>
    </xf>
    <xf numFmtId="0" fontId="11" fillId="0" borderId="6" xfId="0" applyFont="1" applyFill="1" applyBorder="1" applyAlignment="1">
      <alignment horizontal="center" vertical="center" wrapText="1" shrinkToFit="1"/>
    </xf>
    <xf numFmtId="0" fontId="4" fillId="0" borderId="27" xfId="0" applyFont="1" applyFill="1" applyBorder="1" applyAlignment="1">
      <alignment horizontal="center"/>
    </xf>
    <xf numFmtId="2" fontId="5" fillId="0" borderId="19" xfId="0" applyNumberFormat="1" applyFont="1" applyFill="1" applyBorder="1" applyAlignment="1">
      <alignment horizontal="center"/>
    </xf>
    <xf numFmtId="2" fontId="5" fillId="0" borderId="25" xfId="0" applyNumberFormat="1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 vertical="center" wrapText="1"/>
    </xf>
    <xf numFmtId="2" fontId="5" fillId="0" borderId="24" xfId="0" applyNumberFormat="1" applyFont="1" applyFill="1" applyBorder="1" applyAlignment="1">
      <alignment horizontal="center"/>
    </xf>
    <xf numFmtId="2" fontId="3" fillId="0" borderId="2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166" fontId="3" fillId="0" borderId="21" xfId="0" applyNumberFormat="1" applyFont="1" applyFill="1" applyBorder="1" applyAlignment="1">
      <alignment horizontal="center"/>
    </xf>
    <xf numFmtId="166" fontId="3" fillId="0" borderId="2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 shrinkToFit="1"/>
    </xf>
    <xf numFmtId="0" fontId="11" fillId="0" borderId="13" xfId="0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4" fillId="0" borderId="27" xfId="0" applyFont="1" applyFill="1" applyBorder="1" applyAlignment="1">
      <alignment horizontal="center" wrapText="1" shrinkToFit="1"/>
    </xf>
    <xf numFmtId="2" fontId="11" fillId="0" borderId="36" xfId="0" applyNumberFormat="1" applyFont="1" applyFill="1" applyBorder="1" applyAlignment="1">
      <alignment horizontal="center" vertical="center" wrapText="1"/>
    </xf>
    <xf numFmtId="2" fontId="11" fillId="0" borderId="37" xfId="0" applyNumberFormat="1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2" fontId="5" fillId="0" borderId="32" xfId="0" applyNumberFormat="1" applyFont="1" applyFill="1" applyBorder="1" applyAlignment="1">
      <alignment horizontal="center"/>
    </xf>
    <xf numFmtId="0" fontId="5" fillId="0" borderId="0" xfId="0" applyFont="1" applyFill="1" applyAlignment="1">
      <alignment horizontal="left" vertical="center"/>
    </xf>
    <xf numFmtId="2" fontId="5" fillId="0" borderId="20" xfId="0" applyNumberFormat="1" applyFont="1" applyFill="1" applyBorder="1" applyAlignment="1">
      <alignment horizontal="center"/>
    </xf>
    <xf numFmtId="2" fontId="5" fillId="0" borderId="12" xfId="0" applyNumberFormat="1" applyFont="1" applyFill="1" applyBorder="1" applyAlignment="1">
      <alignment horizontal="center"/>
    </xf>
    <xf numFmtId="0" fontId="0" fillId="0" borderId="12" xfId="0" applyFill="1" applyBorder="1"/>
    <xf numFmtId="0" fontId="0" fillId="0" borderId="2" xfId="0" applyFill="1" applyBorder="1"/>
    <xf numFmtId="0" fontId="25" fillId="0" borderId="43" xfId="0" applyFont="1" applyFill="1" applyBorder="1"/>
    <xf numFmtId="0" fontId="0" fillId="0" borderId="4" xfId="0" applyFill="1" applyBorder="1"/>
    <xf numFmtId="0" fontId="0" fillId="0" borderId="8" xfId="0" applyFill="1" applyBorder="1"/>
    <xf numFmtId="0" fontId="9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0" fillId="0" borderId="20" xfId="0" applyFill="1" applyBorder="1"/>
    <xf numFmtId="0" fontId="0" fillId="0" borderId="32" xfId="0" applyFill="1" applyBorder="1"/>
    <xf numFmtId="0" fontId="0" fillId="0" borderId="19" xfId="0" applyFill="1" applyBorder="1"/>
    <xf numFmtId="0" fontId="0" fillId="0" borderId="22" xfId="0" applyFill="1" applyBorder="1"/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/>
    </xf>
    <xf numFmtId="0" fontId="13" fillId="0" borderId="0" xfId="0" applyFont="1" applyFill="1" applyAlignment="1">
      <alignment horizontal="left" vertical="center"/>
    </xf>
    <xf numFmtId="0" fontId="3" fillId="0" borderId="28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3" fillId="0" borderId="2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0070C0"/>
    <pageSetUpPr fitToPage="1"/>
  </sheetPr>
  <dimension ref="A1:Q56"/>
  <sheetViews>
    <sheetView topLeftCell="B33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6" style="1" customWidth="1"/>
    <col min="3" max="3" width="14.7109375" style="1" customWidth="1"/>
    <col min="4" max="4" width="8.28515625" style="1" customWidth="1"/>
    <col min="5" max="5" width="9.42578125" style="14" customWidth="1"/>
    <col min="6" max="6" width="9.7109375" style="3" customWidth="1"/>
    <col min="7" max="7" width="10.28515625" style="3" customWidth="1"/>
    <col min="8" max="8" width="10.5703125" style="3" customWidth="1"/>
    <col min="9" max="9" width="17.42578125" style="1" customWidth="1"/>
    <col min="10" max="10" width="15.42578125" style="1" customWidth="1"/>
    <col min="11" max="11" width="11.140625" style="1" customWidth="1"/>
    <col min="12" max="12" width="11.85546875" style="1" customWidth="1"/>
    <col min="13" max="13" width="20.28515625" style="179" customWidth="1"/>
    <col min="14" max="14" width="21" style="179" customWidth="1"/>
    <col min="15" max="16" width="11.85546875" style="1" customWidth="1"/>
    <col min="17" max="16384" width="9.140625" style="1"/>
  </cols>
  <sheetData>
    <row r="1" spans="1:12">
      <c r="B1" s="262" t="s">
        <v>119</v>
      </c>
      <c r="C1" s="262"/>
      <c r="D1" s="262"/>
      <c r="E1" s="262"/>
      <c r="F1" s="262"/>
      <c r="G1" s="262"/>
      <c r="H1" s="262"/>
    </row>
    <row r="2" spans="1:12">
      <c r="B2" s="262" t="s">
        <v>120</v>
      </c>
      <c r="C2" s="262"/>
      <c r="D2" s="262"/>
      <c r="E2" s="262"/>
      <c r="F2" s="262"/>
      <c r="G2" s="262"/>
      <c r="H2" s="262"/>
    </row>
    <row r="3" spans="1:12">
      <c r="B3" s="262" t="s">
        <v>149</v>
      </c>
      <c r="C3" s="262"/>
      <c r="D3" s="262"/>
      <c r="E3" s="262"/>
      <c r="F3" s="262"/>
      <c r="G3" s="262"/>
      <c r="H3" s="262"/>
    </row>
    <row r="4" spans="1:12">
      <c r="B4" s="262" t="s">
        <v>174</v>
      </c>
      <c r="C4" s="262"/>
      <c r="D4" s="262"/>
      <c r="E4" s="262"/>
      <c r="F4" s="262"/>
      <c r="G4" s="262"/>
      <c r="H4" s="262"/>
    </row>
    <row r="5" spans="1:12" ht="15.75" customHeight="1">
      <c r="A5" s="218"/>
      <c r="B5" s="263" t="s">
        <v>175</v>
      </c>
      <c r="C5" s="263"/>
      <c r="D5" s="263"/>
      <c r="E5" s="263"/>
      <c r="F5" s="263"/>
      <c r="G5" s="263"/>
      <c r="H5" s="263"/>
      <c r="I5" s="13"/>
      <c r="J5" s="13"/>
      <c r="K5" s="13"/>
    </row>
    <row r="6" spans="1:12" ht="21" customHeight="1">
      <c r="A6" s="218"/>
      <c r="B6" s="263"/>
      <c r="C6" s="263"/>
      <c r="D6" s="263"/>
      <c r="E6" s="263"/>
      <c r="F6" s="263"/>
      <c r="G6" s="263"/>
      <c r="H6" s="263"/>
      <c r="I6" s="13"/>
      <c r="J6" s="13"/>
      <c r="K6" s="13"/>
    </row>
    <row r="7" spans="1:12" ht="9.75" customHeight="1"/>
    <row r="8" spans="1:12" ht="14.25" customHeight="1">
      <c r="B8" s="163" t="s">
        <v>0</v>
      </c>
      <c r="C8" s="163"/>
      <c r="D8" s="163"/>
      <c r="E8" s="164"/>
      <c r="F8" s="270" t="s">
        <v>13</v>
      </c>
      <c r="G8" s="270"/>
      <c r="H8" s="270"/>
    </row>
    <row r="9" spans="1:12" ht="12" customHeight="1">
      <c r="B9" s="163" t="s">
        <v>1</v>
      </c>
      <c r="C9" s="163"/>
      <c r="D9" s="163"/>
      <c r="E9" s="164"/>
      <c r="F9" s="209">
        <v>1972</v>
      </c>
      <c r="G9" s="209"/>
      <c r="H9" s="209"/>
    </row>
    <row r="10" spans="1:12" hidden="1" outlineLevel="1">
      <c r="B10" s="163" t="s">
        <v>2</v>
      </c>
      <c r="C10" s="163"/>
      <c r="D10" s="163"/>
      <c r="E10" s="164"/>
      <c r="F10" s="209">
        <v>4</v>
      </c>
      <c r="G10" s="209"/>
      <c r="H10" s="209"/>
    </row>
    <row r="11" spans="1:12" hidden="1" outlineLevel="1">
      <c r="B11" s="163" t="s">
        <v>3</v>
      </c>
      <c r="C11" s="163"/>
      <c r="D11" s="163"/>
      <c r="E11" s="164"/>
      <c r="F11" s="209">
        <v>63</v>
      </c>
      <c r="G11" s="209"/>
      <c r="H11" s="209"/>
    </row>
    <row r="12" spans="1:12" ht="30.75" hidden="1" customHeight="1" outlineLevel="1">
      <c r="B12" s="165" t="s">
        <v>4</v>
      </c>
      <c r="C12" s="165"/>
      <c r="D12" s="165"/>
      <c r="E12" s="166"/>
      <c r="F12" s="209" t="s">
        <v>14</v>
      </c>
      <c r="G12" s="209"/>
      <c r="H12" s="209"/>
    </row>
    <row r="13" spans="1:12" ht="14.25" customHeight="1" collapsed="1">
      <c r="B13" s="163" t="s">
        <v>5</v>
      </c>
      <c r="C13" s="163"/>
      <c r="D13" s="163"/>
      <c r="E13" s="164"/>
      <c r="F13" s="209" t="s">
        <v>123</v>
      </c>
      <c r="G13" s="209"/>
      <c r="H13" s="209"/>
      <c r="L13" s="5"/>
    </row>
    <row r="14" spans="1:12" hidden="1" outlineLevel="1">
      <c r="B14" s="1" t="s">
        <v>6</v>
      </c>
      <c r="F14" s="156" t="s">
        <v>7</v>
      </c>
      <c r="G14" s="156"/>
      <c r="H14" s="156"/>
    </row>
    <row r="15" spans="1:12" ht="30.75" hidden="1" customHeight="1" outlineLevel="1">
      <c r="B15" s="15" t="s">
        <v>8</v>
      </c>
      <c r="C15" s="15"/>
      <c r="D15" s="15"/>
      <c r="E15" s="16"/>
      <c r="F15" s="271" t="s">
        <v>15</v>
      </c>
      <c r="G15" s="271"/>
      <c r="H15" s="156"/>
      <c r="L15" s="5"/>
    </row>
    <row r="16" spans="1:12" ht="18" customHeight="1" collapsed="1" thickBot="1">
      <c r="B16" s="249" t="s">
        <v>172</v>
      </c>
      <c r="C16" s="249"/>
      <c r="D16" s="249"/>
      <c r="E16" s="249"/>
      <c r="F16" s="249"/>
      <c r="G16" s="249"/>
      <c r="H16" s="249"/>
      <c r="L16" s="5"/>
    </row>
    <row r="17" spans="2:14" ht="43.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L17" s="5"/>
    </row>
    <row r="18" spans="2:14" ht="15" customHeight="1">
      <c r="B18" s="150" t="s">
        <v>11</v>
      </c>
      <c r="C18" s="275">
        <v>5547998.9700000007</v>
      </c>
      <c r="D18" s="276"/>
      <c r="E18" s="237">
        <v>3905824.5200000005</v>
      </c>
      <c r="F18" s="238"/>
      <c r="G18" s="237">
        <v>1642174.4500000002</v>
      </c>
      <c r="H18" s="253"/>
      <c r="L18" s="5"/>
    </row>
    <row r="19" spans="2:14" ht="14.25" customHeight="1">
      <c r="B19" s="151" t="s">
        <v>12</v>
      </c>
      <c r="C19" s="239">
        <v>5237519.92</v>
      </c>
      <c r="D19" s="277"/>
      <c r="E19" s="239">
        <v>3691322.72</v>
      </c>
      <c r="F19" s="240"/>
      <c r="G19" s="239">
        <v>1546197.2000000002</v>
      </c>
      <c r="H19" s="250"/>
      <c r="L19" s="5"/>
    </row>
    <row r="20" spans="2:14" ht="15.75" customHeight="1" thickBot="1">
      <c r="B20" s="152" t="s">
        <v>88</v>
      </c>
      <c r="C20" s="278">
        <v>5565038.9735499993</v>
      </c>
      <c r="D20" s="279"/>
      <c r="E20" s="241">
        <v>3961640.9735499993</v>
      </c>
      <c r="F20" s="242"/>
      <c r="G20" s="241">
        <v>1603398</v>
      </c>
      <c r="H20" s="251"/>
      <c r="L20" s="5"/>
    </row>
    <row r="21" spans="2:14" ht="30" customHeight="1" thickBot="1">
      <c r="B21" s="153" t="s">
        <v>143</v>
      </c>
      <c r="C21" s="243">
        <f>E21+G21</f>
        <v>-327519.05354999891</v>
      </c>
      <c r="D21" s="244"/>
      <c r="E21" s="254">
        <f>E19-E20</f>
        <v>-270318.25354999909</v>
      </c>
      <c r="F21" s="255"/>
      <c r="G21" s="254">
        <f>G19-G20</f>
        <v>-57200.799999999814</v>
      </c>
      <c r="H21" s="256"/>
      <c r="L21" s="5"/>
    </row>
    <row r="22" spans="2:14" ht="11.25" customHeight="1">
      <c r="B22" s="15"/>
      <c r="C22" s="15"/>
      <c r="D22" s="15"/>
      <c r="E22" s="16"/>
      <c r="F22" s="210"/>
      <c r="G22" s="210"/>
      <c r="H22" s="156"/>
      <c r="L22" s="5"/>
    </row>
    <row r="23" spans="2:14" ht="29.25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4" ht="34.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5"/>
      <c r="M24" s="234"/>
      <c r="N24" s="234"/>
    </row>
    <row r="25" spans="2:14" ht="42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1">
        <v>401732.68</v>
      </c>
      <c r="N25" s="202">
        <f>M25</f>
        <v>401732.68</v>
      </c>
    </row>
    <row r="26" spans="2:14" s="208" customFormat="1" ht="42" customHeight="1">
      <c r="B26" s="19" t="s">
        <v>86</v>
      </c>
      <c r="C26" s="20" t="s">
        <v>97</v>
      </c>
      <c r="D26" s="21" t="s">
        <v>98</v>
      </c>
      <c r="E26" s="22">
        <v>1.27</v>
      </c>
      <c r="F26" s="23">
        <f t="shared" ref="F26:F31" si="0">$M$25/$M$26*E26</f>
        <v>39246.192584615383</v>
      </c>
      <c r="G26" s="24">
        <f t="shared" ref="G26:G31" si="1">$N$25/$N$26*E26</f>
        <v>39246.192584615383</v>
      </c>
      <c r="H26" s="25">
        <f>F26-G26</f>
        <v>0</v>
      </c>
      <c r="I26" s="26"/>
      <c r="L26" s="27"/>
      <c r="M26" s="203">
        <f>E35-E33</f>
        <v>13</v>
      </c>
      <c r="N26" s="203">
        <f>M26</f>
        <v>13</v>
      </c>
    </row>
    <row r="27" spans="2:14" s="2" customFormat="1" ht="51">
      <c r="B27" s="28" t="s">
        <v>117</v>
      </c>
      <c r="C27" s="20" t="s">
        <v>97</v>
      </c>
      <c r="D27" s="21" t="s">
        <v>98</v>
      </c>
      <c r="E27" s="29">
        <v>1.43</v>
      </c>
      <c r="F27" s="23">
        <f t="shared" si="0"/>
        <v>44190.594799999999</v>
      </c>
      <c r="G27" s="24">
        <f t="shared" si="1"/>
        <v>44190.594799999999</v>
      </c>
      <c r="H27" s="25">
        <f t="shared" ref="H27:H32" si="2">F27-G27</f>
        <v>0</v>
      </c>
      <c r="I27" s="31"/>
      <c r="M27" s="180"/>
      <c r="N27" s="180"/>
    </row>
    <row r="28" spans="2:14" ht="28.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9888.8044307692307</v>
      </c>
      <c r="G28" s="24">
        <f t="shared" si="1"/>
        <v>9888.8044307692307</v>
      </c>
      <c r="H28" s="25">
        <f t="shared" si="2"/>
        <v>0</v>
      </c>
      <c r="I28" s="33"/>
      <c r="L28" s="5"/>
    </row>
    <row r="29" spans="2:14" ht="25.5">
      <c r="B29" s="32" t="s">
        <v>84</v>
      </c>
      <c r="C29" s="34" t="s">
        <v>99</v>
      </c>
      <c r="D29" s="21" t="s">
        <v>98</v>
      </c>
      <c r="E29" s="29">
        <v>0.38</v>
      </c>
      <c r="F29" s="23">
        <f t="shared" si="0"/>
        <v>11742.955261538462</v>
      </c>
      <c r="G29" s="24">
        <f t="shared" si="1"/>
        <v>11742.955261538462</v>
      </c>
      <c r="H29" s="25">
        <f t="shared" si="2"/>
        <v>0</v>
      </c>
      <c r="I29" s="33"/>
      <c r="L29" s="5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42645.469107692305</v>
      </c>
      <c r="G30" s="24">
        <f t="shared" si="1"/>
        <v>42645.469107692305</v>
      </c>
      <c r="H30" s="25">
        <f t="shared" si="2"/>
        <v>0</v>
      </c>
      <c r="I30" s="33"/>
    </row>
    <row r="31" spans="2:14" s="2" customFormat="1" ht="210" customHeight="1">
      <c r="B31" s="28" t="s">
        <v>135</v>
      </c>
      <c r="C31" s="20" t="s">
        <v>100</v>
      </c>
      <c r="D31" s="21" t="s">
        <v>98</v>
      </c>
      <c r="E31" s="29">
        <v>6.54</v>
      </c>
      <c r="F31" s="23">
        <f t="shared" si="0"/>
        <v>202102.44055384616</v>
      </c>
      <c r="G31" s="24">
        <f t="shared" si="1"/>
        <v>202102.44055384616</v>
      </c>
      <c r="H31" s="25">
        <f t="shared" si="2"/>
        <v>0</v>
      </c>
      <c r="I31" s="31"/>
      <c r="L31" s="4"/>
      <c r="M31" s="180"/>
      <c r="N31" s="180"/>
    </row>
    <row r="32" spans="2:14" ht="108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>$M$25/$M$26*E32</f>
        <v>8652.7038769230767</v>
      </c>
      <c r="G32" s="24">
        <f>$N$25/$N$26*E32</f>
        <v>8652.7038769230767</v>
      </c>
      <c r="H32" s="25">
        <f t="shared" si="2"/>
        <v>0</v>
      </c>
      <c r="I32" s="33"/>
    </row>
    <row r="33" spans="2:17" ht="34.5" customHeight="1">
      <c r="B33" s="32" t="s">
        <v>91</v>
      </c>
      <c r="C33" s="20" t="s">
        <v>97</v>
      </c>
      <c r="D33" s="21" t="s">
        <v>98</v>
      </c>
      <c r="E33" s="29">
        <v>5.95</v>
      </c>
      <c r="F33" s="23">
        <v>183869.96</v>
      </c>
      <c r="G33" s="30">
        <v>69783</v>
      </c>
      <c r="H33" s="25">
        <f>F33-G33</f>
        <v>114086.95999999999</v>
      </c>
      <c r="I33" s="33"/>
      <c r="L33" s="5"/>
    </row>
    <row r="34" spans="2:17" ht="16.5" thickBot="1">
      <c r="B34" s="35" t="s">
        <v>85</v>
      </c>
      <c r="C34" s="36" t="s">
        <v>100</v>
      </c>
      <c r="D34" s="37" t="s">
        <v>98</v>
      </c>
      <c r="E34" s="38">
        <v>1.4</v>
      </c>
      <c r="F34" s="23">
        <f>$M$25/$M$26*E34</f>
        <v>43263.519384615378</v>
      </c>
      <c r="G34" s="24">
        <f>$N$25/$N$26*E34</f>
        <v>43263.519384615378</v>
      </c>
      <c r="H34" s="25">
        <f>F34-G34</f>
        <v>0</v>
      </c>
      <c r="I34" s="33"/>
    </row>
    <row r="35" spans="2:17" ht="16.5" thickBot="1">
      <c r="B35" s="39" t="s">
        <v>89</v>
      </c>
      <c r="C35" s="40"/>
      <c r="D35" s="40"/>
      <c r="E35" s="41">
        <f>SUM(E26:E34)</f>
        <v>18.95</v>
      </c>
      <c r="F35" s="42">
        <f>SUM(F26:F34)</f>
        <v>585602.6399999999</v>
      </c>
      <c r="G35" s="43">
        <f>SUM(G26:G34)</f>
        <v>471515.67999999993</v>
      </c>
      <c r="H35" s="44">
        <f>SUM(H26:H34)</f>
        <v>114086.95999999999</v>
      </c>
      <c r="I35" s="65"/>
      <c r="J35" s="5"/>
    </row>
    <row r="36" spans="2:17" ht="12" customHeight="1">
      <c r="B36" s="5"/>
      <c r="C36" s="5"/>
      <c r="D36" s="5"/>
      <c r="G36" s="14"/>
    </row>
    <row r="37" spans="2:17" ht="15" customHeight="1" thickBot="1">
      <c r="B37" s="249" t="s">
        <v>178</v>
      </c>
      <c r="C37" s="249"/>
      <c r="D37" s="249"/>
      <c r="E37" s="249"/>
      <c r="F37" s="249"/>
      <c r="G37" s="249"/>
      <c r="H37" s="249"/>
      <c r="I37" s="144"/>
      <c r="J37" s="45"/>
    </row>
    <row r="38" spans="2:17" s="3" customFormat="1" ht="4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57"/>
      <c r="J38" s="158"/>
      <c r="K38" s="46"/>
      <c r="L38" s="47"/>
      <c r="M38" s="181"/>
      <c r="N38" s="181"/>
    </row>
    <row r="39" spans="2:17">
      <c r="B39" s="150" t="s">
        <v>11</v>
      </c>
      <c r="C39" s="237">
        <f>E39+G39</f>
        <v>6133601.6100000003</v>
      </c>
      <c r="D39" s="238"/>
      <c r="E39" s="237">
        <f>F26+F27+F28+F29+F30+F31+F32+F34+E18</f>
        <v>4307557.2</v>
      </c>
      <c r="F39" s="238"/>
      <c r="G39" s="237">
        <f>F33+G18</f>
        <v>1826044.4100000001</v>
      </c>
      <c r="H39" s="253"/>
      <c r="I39" s="159"/>
      <c r="J39" s="160"/>
      <c r="K39" s="49"/>
      <c r="L39" s="49"/>
      <c r="M39" s="204"/>
    </row>
    <row r="40" spans="2:17">
      <c r="B40" s="151" t="s">
        <v>12</v>
      </c>
      <c r="C40" s="239">
        <f>E40+G40</f>
        <v>5805616.3100000005</v>
      </c>
      <c r="D40" s="240"/>
      <c r="E40" s="239">
        <f>E19+389723.12</f>
        <v>4081045.8400000003</v>
      </c>
      <c r="F40" s="240"/>
      <c r="G40" s="239">
        <f>G19+178373.27</f>
        <v>1724570.4700000002</v>
      </c>
      <c r="H40" s="250"/>
      <c r="I40" s="159"/>
      <c r="J40" s="161"/>
      <c r="K40" s="51"/>
      <c r="L40" s="49"/>
      <c r="M40" s="204"/>
    </row>
    <row r="41" spans="2:17" ht="16.5" thickBot="1">
      <c r="B41" s="152" t="s">
        <v>88</v>
      </c>
      <c r="C41" s="241">
        <f>E41+G41</f>
        <v>6036554.653549999</v>
      </c>
      <c r="D41" s="242"/>
      <c r="E41" s="241">
        <f>G26+G27+G28+G29+G30+G31+G32+G34+E20</f>
        <v>4363373.653549999</v>
      </c>
      <c r="F41" s="242"/>
      <c r="G41" s="241">
        <f>G33+G20</f>
        <v>1673181</v>
      </c>
      <c r="H41" s="251"/>
      <c r="I41" s="159"/>
      <c r="J41" s="48"/>
      <c r="K41" s="33"/>
      <c r="L41" s="33"/>
    </row>
    <row r="42" spans="2:17" ht="27.75" customHeight="1" thickBot="1">
      <c r="B42" s="153" t="s">
        <v>144</v>
      </c>
      <c r="C42" s="243">
        <f>E42+G42</f>
        <v>-230938.34354999848</v>
      </c>
      <c r="D42" s="244"/>
      <c r="E42" s="254">
        <f>E40-E41</f>
        <v>-282327.81354999868</v>
      </c>
      <c r="F42" s="255"/>
      <c r="G42" s="260">
        <f>G40-G41</f>
        <v>51389.470000000205</v>
      </c>
      <c r="H42" s="261"/>
      <c r="I42" s="162"/>
      <c r="J42" s="147"/>
      <c r="K42" s="33"/>
      <c r="L42" s="33"/>
    </row>
    <row r="43" spans="2:17" ht="11.25" customHeight="1">
      <c r="B43" s="76"/>
      <c r="C43" s="145"/>
      <c r="D43" s="145"/>
      <c r="E43" s="146"/>
      <c r="F43" s="147"/>
      <c r="G43" s="147"/>
      <c r="H43" s="147"/>
      <c r="I43" s="50"/>
      <c r="J43" s="48"/>
      <c r="K43" s="33"/>
      <c r="L43" s="33"/>
    </row>
    <row r="44" spans="2:17" s="2" customFormat="1" ht="16.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52"/>
      <c r="M44" s="180"/>
      <c r="N44" s="180"/>
      <c r="O44" s="1"/>
      <c r="Q44" s="1"/>
    </row>
    <row r="45" spans="2:17" s="2" customFormat="1" ht="9" customHeight="1">
      <c r="B45" s="52"/>
      <c r="C45" s="53"/>
      <c r="D45" s="53"/>
      <c r="E45" s="219"/>
      <c r="F45" s="259"/>
      <c r="G45" s="259"/>
      <c r="H45" s="52"/>
      <c r="I45" s="52"/>
      <c r="M45" s="180"/>
      <c r="N45" s="180"/>
    </row>
    <row r="46" spans="2:17" s="2" customFormat="1" ht="15.7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  <c r="M46" s="180"/>
      <c r="N46" s="180"/>
    </row>
    <row r="47" spans="2:17" ht="7.5" customHeight="1">
      <c r="B47" s="52"/>
      <c r="C47" s="53"/>
      <c r="D47" s="53"/>
      <c r="E47" s="219"/>
      <c r="F47" s="258"/>
      <c r="G47" s="258"/>
      <c r="H47" s="52"/>
      <c r="I47" s="52"/>
      <c r="O47" s="2"/>
      <c r="Q47" s="2"/>
    </row>
    <row r="48" spans="2:17" ht="13.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52"/>
    </row>
    <row r="49" spans="2:9" ht="6" customHeight="1">
      <c r="B49" s="54"/>
      <c r="C49" s="55"/>
      <c r="D49" s="55"/>
      <c r="E49" s="219"/>
      <c r="F49" s="183"/>
      <c r="G49" s="54"/>
      <c r="H49" s="56"/>
      <c r="I49" s="6"/>
    </row>
    <row r="50" spans="2:9" ht="1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  <c r="I50" s="52"/>
    </row>
    <row r="51" spans="2:9" ht="9.75" customHeight="1">
      <c r="E51" s="219"/>
      <c r="F51" s="257"/>
      <c r="G51" s="257"/>
      <c r="I51" s="3"/>
    </row>
    <row r="56" spans="2:9">
      <c r="G56" s="211"/>
    </row>
  </sheetData>
  <mergeCells count="59">
    <mergeCell ref="B4:H4"/>
    <mergeCell ref="C18:D18"/>
    <mergeCell ref="C19:D19"/>
    <mergeCell ref="C20:D20"/>
    <mergeCell ref="G39:H39"/>
    <mergeCell ref="C17:D17"/>
    <mergeCell ref="C21:D21"/>
    <mergeCell ref="E42:F42"/>
    <mergeCell ref="G42:H42"/>
    <mergeCell ref="C48:E48"/>
    <mergeCell ref="B1:H1"/>
    <mergeCell ref="B5:H6"/>
    <mergeCell ref="H24:H25"/>
    <mergeCell ref="C24:C25"/>
    <mergeCell ref="D24:D25"/>
    <mergeCell ref="B24:B25"/>
    <mergeCell ref="F8:H8"/>
    <mergeCell ref="F15:G15"/>
    <mergeCell ref="B23:H23"/>
    <mergeCell ref="E24:E25"/>
    <mergeCell ref="B2:H2"/>
    <mergeCell ref="B3:H3"/>
    <mergeCell ref="B16:H16"/>
    <mergeCell ref="F51:G51"/>
    <mergeCell ref="F44:G44"/>
    <mergeCell ref="F50:G50"/>
    <mergeCell ref="F47:G47"/>
    <mergeCell ref="F48:G48"/>
    <mergeCell ref="F45:G45"/>
    <mergeCell ref="F46:G46"/>
    <mergeCell ref="G41:H41"/>
    <mergeCell ref="E41:F41"/>
    <mergeCell ref="E17:F17"/>
    <mergeCell ref="G17:H17"/>
    <mergeCell ref="E18:F18"/>
    <mergeCell ref="G18:H18"/>
    <mergeCell ref="E21:F21"/>
    <mergeCell ref="G21:H21"/>
    <mergeCell ref="E19:F19"/>
    <mergeCell ref="G19:H19"/>
    <mergeCell ref="E20:F20"/>
    <mergeCell ref="G20:H20"/>
    <mergeCell ref="G38:H38"/>
    <mergeCell ref="C50:E50"/>
    <mergeCell ref="M23:M24"/>
    <mergeCell ref="C46:E46"/>
    <mergeCell ref="N23:N24"/>
    <mergeCell ref="C44:E44"/>
    <mergeCell ref="C38:D38"/>
    <mergeCell ref="C39:D39"/>
    <mergeCell ref="C40:D40"/>
    <mergeCell ref="C41:D41"/>
    <mergeCell ref="C42:D42"/>
    <mergeCell ref="E39:F39"/>
    <mergeCell ref="E40:F40"/>
    <mergeCell ref="E38:F38"/>
    <mergeCell ref="F24:G24"/>
    <mergeCell ref="B37:H37"/>
    <mergeCell ref="G40:H40"/>
  </mergeCells>
  <printOptions horizontalCentered="1"/>
  <pageMargins left="0.15748031496062992" right="0.19685039370078741" top="0.15748031496062992" bottom="0.15748031496062992" header="0.19685039370078741" footer="0.15748031496062992"/>
  <pageSetup paperSize="9" scale="45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tabColor rgb="FFFF0000"/>
    <pageSetUpPr fitToPage="1"/>
  </sheetPr>
  <dimension ref="A1:N52"/>
  <sheetViews>
    <sheetView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78" customWidth="1"/>
    <col min="2" max="2" width="58" style="78" customWidth="1"/>
    <col min="3" max="3" width="25" style="80" customWidth="1"/>
    <col min="4" max="4" width="9.85546875" style="80" customWidth="1"/>
    <col min="5" max="5" width="9.42578125" style="80" customWidth="1"/>
    <col min="6" max="6" width="9.85546875" style="78" customWidth="1"/>
    <col min="7" max="7" width="10.42578125" style="78" customWidth="1"/>
    <col min="8" max="8" width="10.7109375" style="78" customWidth="1"/>
    <col min="9" max="9" width="11.85546875" style="78" customWidth="1"/>
    <col min="10" max="12" width="9.140625" style="78"/>
    <col min="13" max="13" width="17.7109375" style="179" customWidth="1"/>
    <col min="14" max="14" width="16.28515625" style="179" customWidth="1"/>
    <col min="15" max="16384" width="9.140625" style="78"/>
  </cols>
  <sheetData>
    <row r="1" spans="1:9">
      <c r="B1" s="300" t="s">
        <v>118</v>
      </c>
      <c r="C1" s="300"/>
      <c r="D1" s="300"/>
      <c r="E1" s="300"/>
      <c r="F1" s="300"/>
      <c r="G1" s="300"/>
      <c r="H1" s="300"/>
    </row>
    <row r="2" spans="1:9" ht="9" customHeight="1">
      <c r="B2" s="197"/>
      <c r="C2" s="197"/>
      <c r="D2" s="197"/>
      <c r="E2" s="197"/>
      <c r="F2" s="197"/>
      <c r="G2" s="197"/>
      <c r="H2" s="197"/>
    </row>
    <row r="3" spans="1:9" ht="19.5" customHeight="1">
      <c r="A3" s="79"/>
      <c r="B3" s="263" t="s">
        <v>175</v>
      </c>
      <c r="C3" s="263"/>
      <c r="D3" s="263"/>
      <c r="E3" s="263"/>
      <c r="F3" s="263"/>
      <c r="G3" s="263"/>
      <c r="H3" s="263"/>
    </row>
    <row r="4" spans="1:9" ht="17.25" customHeight="1">
      <c r="A4" s="79"/>
      <c r="B4" s="263"/>
      <c r="C4" s="263"/>
      <c r="D4" s="263"/>
      <c r="E4" s="263"/>
      <c r="F4" s="263"/>
      <c r="G4" s="263"/>
      <c r="H4" s="263"/>
    </row>
    <row r="5" spans="1:9" ht="8.25" customHeight="1"/>
    <row r="6" spans="1:9">
      <c r="B6" s="121" t="s">
        <v>0</v>
      </c>
      <c r="C6" s="122"/>
      <c r="D6" s="301" t="s">
        <v>39</v>
      </c>
      <c r="E6" s="301"/>
    </row>
    <row r="7" spans="1:9">
      <c r="B7" s="121" t="s">
        <v>1</v>
      </c>
      <c r="C7" s="122"/>
      <c r="D7" s="198">
        <v>1963</v>
      </c>
      <c r="E7" s="198"/>
    </row>
    <row r="8" spans="1:9" hidden="1" outlineLevel="1">
      <c r="B8" s="121" t="s">
        <v>2</v>
      </c>
      <c r="C8" s="122"/>
      <c r="D8" s="198">
        <v>4</v>
      </c>
      <c r="E8" s="198"/>
    </row>
    <row r="9" spans="1:9" hidden="1" outlineLevel="1">
      <c r="B9" s="121" t="s">
        <v>3</v>
      </c>
      <c r="C9" s="122"/>
      <c r="D9" s="198">
        <v>29</v>
      </c>
      <c r="E9" s="198"/>
    </row>
    <row r="10" spans="1:9" ht="27.75" hidden="1" customHeight="1" outlineLevel="1">
      <c r="B10" s="124" t="s">
        <v>4</v>
      </c>
      <c r="C10" s="125"/>
      <c r="D10" s="198" t="s">
        <v>40</v>
      </c>
      <c r="E10" s="198"/>
    </row>
    <row r="11" spans="1:9" collapsed="1">
      <c r="B11" s="121" t="s">
        <v>5</v>
      </c>
      <c r="C11" s="122"/>
      <c r="D11" s="198" t="s">
        <v>110</v>
      </c>
      <c r="E11" s="198"/>
      <c r="I11" s="84"/>
    </row>
    <row r="12" spans="1:9" hidden="1" outlineLevel="1">
      <c r="B12" s="78" t="s">
        <v>6</v>
      </c>
      <c r="D12" s="81" t="s">
        <v>41</v>
      </c>
      <c r="E12" s="81"/>
    </row>
    <row r="13" spans="1:9" ht="27.75" hidden="1" customHeight="1" outlineLevel="1">
      <c r="B13" s="82" t="s">
        <v>8</v>
      </c>
      <c r="C13" s="83"/>
      <c r="D13" s="177" t="s">
        <v>42</v>
      </c>
      <c r="E13" s="81"/>
      <c r="I13" s="84"/>
    </row>
    <row r="14" spans="1:9" ht="16.5" collapsed="1" thickBot="1">
      <c r="B14" s="249" t="s">
        <v>172</v>
      </c>
      <c r="C14" s="249"/>
      <c r="D14" s="249"/>
      <c r="E14" s="249"/>
      <c r="F14" s="249"/>
      <c r="G14" s="249"/>
      <c r="H14" s="249"/>
      <c r="I14" s="84"/>
    </row>
    <row r="15" spans="1:9" ht="48.75" customHeight="1" thickBot="1">
      <c r="B15" s="200" t="s">
        <v>171</v>
      </c>
      <c r="C15" s="235" t="s">
        <v>101</v>
      </c>
      <c r="D15" s="236"/>
      <c r="E15" s="245" t="s">
        <v>9</v>
      </c>
      <c r="F15" s="246"/>
      <c r="G15" s="245" t="s">
        <v>10</v>
      </c>
      <c r="H15" s="252"/>
      <c r="I15" s="84"/>
    </row>
    <row r="16" spans="1:9">
      <c r="B16" s="150" t="s">
        <v>11</v>
      </c>
      <c r="C16" s="275">
        <v>3141972.6400000006</v>
      </c>
      <c r="D16" s="276"/>
      <c r="E16" s="237">
        <v>2518304.0803960403</v>
      </c>
      <c r="F16" s="238"/>
      <c r="G16" s="237">
        <v>623668.55960396025</v>
      </c>
      <c r="H16" s="253"/>
      <c r="I16" s="84"/>
    </row>
    <row r="17" spans="2:14">
      <c r="B17" s="151" t="s">
        <v>12</v>
      </c>
      <c r="C17" s="239">
        <v>2963410.19</v>
      </c>
      <c r="D17" s="240"/>
      <c r="E17" s="239">
        <v>2378402.5</v>
      </c>
      <c r="F17" s="240"/>
      <c r="G17" s="239">
        <v>585007.68999999994</v>
      </c>
      <c r="H17" s="250"/>
      <c r="I17" s="84"/>
    </row>
    <row r="18" spans="2:14" ht="16.5" thickBot="1">
      <c r="B18" s="152" t="s">
        <v>88</v>
      </c>
      <c r="C18" s="239">
        <v>3128411.2528158422</v>
      </c>
      <c r="D18" s="240"/>
      <c r="E18" s="241">
        <v>2533788.2528158422</v>
      </c>
      <c r="F18" s="242"/>
      <c r="G18" s="241">
        <v>594623</v>
      </c>
      <c r="H18" s="251"/>
      <c r="I18" s="84"/>
    </row>
    <row r="19" spans="2:14" ht="33" customHeight="1" thickBot="1">
      <c r="B19" s="153" t="s">
        <v>143</v>
      </c>
      <c r="C19" s="243">
        <f>E19+G19</f>
        <v>-165001.06281584222</v>
      </c>
      <c r="D19" s="244"/>
      <c r="E19" s="254">
        <f>E17-E18</f>
        <v>-155385.75281584216</v>
      </c>
      <c r="F19" s="255"/>
      <c r="G19" s="254">
        <f>G17-G18</f>
        <v>-9615.3100000000559</v>
      </c>
      <c r="H19" s="256"/>
      <c r="I19" s="84"/>
    </row>
    <row r="20" spans="2:14">
      <c r="B20" s="82"/>
      <c r="C20" s="83"/>
      <c r="D20" s="177"/>
      <c r="E20" s="81"/>
      <c r="I20" s="84"/>
    </row>
    <row r="21" spans="2:14" ht="33" customHeight="1" thickBot="1">
      <c r="B21" s="272" t="s">
        <v>176</v>
      </c>
      <c r="C21" s="272"/>
      <c r="D21" s="272"/>
      <c r="E21" s="272"/>
      <c r="F21" s="272"/>
      <c r="G21" s="272"/>
      <c r="H21" s="272"/>
      <c r="L21" s="84"/>
      <c r="M21" s="233" t="s">
        <v>145</v>
      </c>
      <c r="N21" s="233" t="s">
        <v>146</v>
      </c>
    </row>
    <row r="22" spans="2:14" ht="38.25" customHeight="1">
      <c r="B22" s="268" t="s">
        <v>94</v>
      </c>
      <c r="C22" s="266" t="s">
        <v>95</v>
      </c>
      <c r="D22" s="266" t="s">
        <v>116</v>
      </c>
      <c r="E22" s="273" t="s">
        <v>177</v>
      </c>
      <c r="F22" s="247" t="s">
        <v>96</v>
      </c>
      <c r="G22" s="248"/>
      <c r="H22" s="264" t="s">
        <v>122</v>
      </c>
      <c r="L22" s="84"/>
      <c r="M22" s="234"/>
      <c r="N22" s="234"/>
    </row>
    <row r="23" spans="2:14" ht="38.25" customHeight="1" thickBot="1">
      <c r="B23" s="269"/>
      <c r="C23" s="267"/>
      <c r="D23" s="267"/>
      <c r="E23" s="274"/>
      <c r="F23" s="17" t="s">
        <v>81</v>
      </c>
      <c r="G23" s="18" t="s">
        <v>82</v>
      </c>
      <c r="H23" s="265"/>
      <c r="M23" s="201">
        <v>322937.89</v>
      </c>
      <c r="N23" s="201">
        <f>M23</f>
        <v>322937.89</v>
      </c>
    </row>
    <row r="24" spans="2:14" ht="45">
      <c r="B24" s="85" t="s">
        <v>138</v>
      </c>
      <c r="C24" s="86" t="s">
        <v>133</v>
      </c>
      <c r="D24" s="87" t="s">
        <v>98</v>
      </c>
      <c r="E24" s="88">
        <v>3.03</v>
      </c>
      <c r="F24" s="89">
        <f>$M$23/$M$24*E24</f>
        <v>53616.537353424668</v>
      </c>
      <c r="G24" s="90">
        <f>$N$23/$N$24*E24</f>
        <v>53616.537353424668</v>
      </c>
      <c r="H24" s="91">
        <f>F24-G24</f>
        <v>0</v>
      </c>
      <c r="I24" s="26"/>
      <c r="J24" s="92"/>
      <c r="K24" s="92"/>
      <c r="L24" s="93"/>
      <c r="M24" s="203">
        <f>E33-E31</f>
        <v>18.249999999999996</v>
      </c>
      <c r="N24" s="203">
        <f>E33-E31</f>
        <v>18.249999999999996</v>
      </c>
    </row>
    <row r="25" spans="2:14" ht="51">
      <c r="B25" s="94" t="s">
        <v>139</v>
      </c>
      <c r="C25" s="86" t="s">
        <v>133</v>
      </c>
      <c r="D25" s="87" t="s">
        <v>98</v>
      </c>
      <c r="E25" s="95">
        <v>3.74</v>
      </c>
      <c r="F25" s="89">
        <f t="shared" ref="F25:F32" si="0">$M$23/$M$24*E25</f>
        <v>66180.148416438373</v>
      </c>
      <c r="G25" s="90">
        <f t="shared" ref="G25:G30" si="1">$N$23/$N$24*E25</f>
        <v>66180.148416438373</v>
      </c>
      <c r="H25" s="91">
        <f t="shared" ref="H25:H30" si="2">F25-G25</f>
        <v>0</v>
      </c>
      <c r="I25" s="96"/>
      <c r="J25" s="97"/>
      <c r="K25" s="97"/>
      <c r="L25" s="121"/>
      <c r="M25" s="204"/>
      <c r="N25" s="204"/>
    </row>
    <row r="26" spans="2:14" ht="50.25" customHeight="1">
      <c r="B26" s="99" t="s">
        <v>83</v>
      </c>
      <c r="C26" s="86" t="s">
        <v>133</v>
      </c>
      <c r="D26" s="87" t="s">
        <v>98</v>
      </c>
      <c r="E26" s="95">
        <v>0.32</v>
      </c>
      <c r="F26" s="89">
        <f t="shared" si="0"/>
        <v>5662.4725917808237</v>
      </c>
      <c r="G26" s="90">
        <f t="shared" si="1"/>
        <v>5662.4725917808237</v>
      </c>
      <c r="H26" s="91">
        <f t="shared" si="2"/>
        <v>0</v>
      </c>
      <c r="I26" s="100"/>
      <c r="L26" s="121"/>
      <c r="M26" s="205"/>
      <c r="N26" s="205"/>
    </row>
    <row r="27" spans="2:14" ht="28.5" customHeight="1">
      <c r="B27" s="99" t="s">
        <v>84</v>
      </c>
      <c r="C27" s="101" t="s">
        <v>99</v>
      </c>
      <c r="D27" s="87" t="s">
        <v>98</v>
      </c>
      <c r="E27" s="95">
        <v>0.64</v>
      </c>
      <c r="F27" s="89">
        <f t="shared" si="0"/>
        <v>11324.945183561647</v>
      </c>
      <c r="G27" s="90">
        <f t="shared" si="1"/>
        <v>11324.945183561647</v>
      </c>
      <c r="H27" s="91">
        <f t="shared" si="2"/>
        <v>0</v>
      </c>
      <c r="I27" s="100"/>
      <c r="L27" s="191"/>
      <c r="M27" s="204"/>
      <c r="N27" s="204"/>
    </row>
    <row r="28" spans="2:14" ht="51">
      <c r="B28" s="94" t="s">
        <v>140</v>
      </c>
      <c r="C28" s="86" t="s">
        <v>134</v>
      </c>
      <c r="D28" s="87" t="s">
        <v>98</v>
      </c>
      <c r="E28" s="95">
        <v>1.73</v>
      </c>
      <c r="F28" s="89">
        <f t="shared" si="0"/>
        <v>30612.742449315076</v>
      </c>
      <c r="G28" s="90">
        <f t="shared" si="1"/>
        <v>30612.742449315076</v>
      </c>
      <c r="H28" s="91">
        <f t="shared" si="2"/>
        <v>0</v>
      </c>
      <c r="I28" s="100"/>
    </row>
    <row r="29" spans="2:14" ht="210.75" customHeight="1">
      <c r="B29" s="94" t="s">
        <v>141</v>
      </c>
      <c r="C29" s="102" t="s">
        <v>100</v>
      </c>
      <c r="D29" s="87" t="s">
        <v>98</v>
      </c>
      <c r="E29" s="95">
        <v>7.37</v>
      </c>
      <c r="F29" s="89">
        <f t="shared" si="0"/>
        <v>130413.82187945209</v>
      </c>
      <c r="G29" s="90">
        <f t="shared" si="1"/>
        <v>130413.82187945209</v>
      </c>
      <c r="H29" s="91">
        <f t="shared" si="2"/>
        <v>0</v>
      </c>
      <c r="I29" s="96"/>
      <c r="J29" s="97"/>
      <c r="K29" s="97"/>
      <c r="L29" s="98"/>
      <c r="M29" s="180"/>
      <c r="N29" s="180"/>
    </row>
    <row r="30" spans="2:14" ht="106.5" customHeight="1">
      <c r="B30" s="94" t="s">
        <v>142</v>
      </c>
      <c r="C30" s="86" t="s">
        <v>133</v>
      </c>
      <c r="D30" s="87" t="s">
        <v>98</v>
      </c>
      <c r="E30" s="95">
        <v>0.36</v>
      </c>
      <c r="F30" s="89">
        <f t="shared" si="0"/>
        <v>6370.2816657534258</v>
      </c>
      <c r="G30" s="90">
        <f t="shared" si="1"/>
        <v>6370.2816657534258</v>
      </c>
      <c r="H30" s="91">
        <f t="shared" si="2"/>
        <v>0</v>
      </c>
      <c r="I30" s="100"/>
    </row>
    <row r="31" spans="2:14" ht="60" customHeight="1">
      <c r="B31" s="99" t="s">
        <v>91</v>
      </c>
      <c r="C31" s="86" t="s">
        <v>133</v>
      </c>
      <c r="D31" s="87" t="s">
        <v>98</v>
      </c>
      <c r="E31" s="95">
        <v>4</v>
      </c>
      <c r="F31" s="89">
        <v>70780.91</v>
      </c>
      <c r="G31" s="103">
        <v>19206</v>
      </c>
      <c r="H31" s="91">
        <f>F31-G31</f>
        <v>51574.91</v>
      </c>
      <c r="I31" s="100"/>
      <c r="L31" s="84"/>
    </row>
    <row r="32" spans="2:14" ht="16.5" thickBot="1">
      <c r="B32" s="104" t="s">
        <v>85</v>
      </c>
      <c r="C32" s="105" t="s">
        <v>100</v>
      </c>
      <c r="D32" s="106" t="s">
        <v>98</v>
      </c>
      <c r="E32" s="107">
        <v>1.06</v>
      </c>
      <c r="F32" s="89">
        <f t="shared" si="0"/>
        <v>18756.940460273978</v>
      </c>
      <c r="G32" s="90">
        <f t="shared" ref="G32" si="3">$N$23/$N$24*E32</f>
        <v>18756.940460273978</v>
      </c>
      <c r="H32" s="91">
        <f>F32-G32</f>
        <v>0</v>
      </c>
      <c r="I32" s="100"/>
    </row>
    <row r="33" spans="2:14" ht="16.5" thickBot="1">
      <c r="B33" s="108" t="s">
        <v>89</v>
      </c>
      <c r="C33" s="109"/>
      <c r="D33" s="109"/>
      <c r="E33" s="184">
        <f>SUM(E24:E32)</f>
        <v>22.249999999999996</v>
      </c>
      <c r="F33" s="110">
        <f>SUM(F24:F32)</f>
        <v>393718.80000000005</v>
      </c>
      <c r="G33" s="111">
        <f>SUM(G24:G32)</f>
        <v>342143.89000000007</v>
      </c>
      <c r="H33" s="112">
        <f>SUM(H24:H32)</f>
        <v>51574.91</v>
      </c>
      <c r="I33" s="178"/>
      <c r="J33" s="84"/>
    </row>
    <row r="34" spans="2:14">
      <c r="B34" s="84"/>
      <c r="C34" s="84"/>
      <c r="D34" s="84"/>
      <c r="E34" s="113"/>
      <c r="F34" s="113"/>
      <c r="G34" s="113"/>
      <c r="H34" s="80"/>
    </row>
    <row r="35" spans="2:14" ht="16.5" customHeight="1" thickBot="1">
      <c r="B35" s="249" t="s">
        <v>172</v>
      </c>
      <c r="C35" s="249"/>
      <c r="D35" s="249"/>
      <c r="E35" s="249"/>
      <c r="F35" s="249"/>
      <c r="G35" s="249"/>
      <c r="H35" s="249"/>
      <c r="I35" s="114"/>
      <c r="J35" s="114"/>
    </row>
    <row r="36" spans="2:14" ht="47.25" customHeight="1" thickBot="1">
      <c r="B36" s="200" t="s">
        <v>173</v>
      </c>
      <c r="C36" s="235" t="s">
        <v>101</v>
      </c>
      <c r="D36" s="236"/>
      <c r="E36" s="245" t="s">
        <v>9</v>
      </c>
      <c r="F36" s="246"/>
      <c r="G36" s="245" t="s">
        <v>10</v>
      </c>
      <c r="H36" s="252"/>
      <c r="I36" s="115"/>
      <c r="J36" s="116"/>
      <c r="K36" s="193"/>
      <c r="L36" s="117"/>
      <c r="M36" s="181"/>
      <c r="N36" s="181"/>
    </row>
    <row r="37" spans="2:14">
      <c r="B37" s="150" t="s">
        <v>11</v>
      </c>
      <c r="C37" s="275">
        <f>E37+G37</f>
        <v>3535691.4400000009</v>
      </c>
      <c r="D37" s="280"/>
      <c r="E37" s="237">
        <f>F24+F25+F26+F27+F28+F29+F30+F32+E16</f>
        <v>2841241.9703960405</v>
      </c>
      <c r="F37" s="238"/>
      <c r="G37" s="237">
        <f>F31+G16</f>
        <v>694449.46960396029</v>
      </c>
      <c r="H37" s="253"/>
      <c r="I37" s="118"/>
      <c r="J37" s="119"/>
      <c r="K37" s="120"/>
      <c r="L37" s="120"/>
      <c r="M37" s="204"/>
    </row>
    <row r="38" spans="2:14">
      <c r="B38" s="151" t="s">
        <v>12</v>
      </c>
      <c r="C38" s="239">
        <f>E38+G38</f>
        <v>3351400.81</v>
      </c>
      <c r="D38" s="240"/>
      <c r="E38" s="239">
        <f>E17+318239.5</f>
        <v>2696642</v>
      </c>
      <c r="F38" s="240"/>
      <c r="G38" s="239">
        <f>G17+69751.12</f>
        <v>654758.80999999994</v>
      </c>
      <c r="H38" s="250"/>
      <c r="I38" s="118"/>
      <c r="J38" s="119"/>
      <c r="K38" s="194"/>
      <c r="L38" s="120"/>
      <c r="M38" s="204"/>
    </row>
    <row r="39" spans="2:14" ht="16.5" thickBot="1">
      <c r="B39" s="152" t="s">
        <v>88</v>
      </c>
      <c r="C39" s="278">
        <f>E39+G39</f>
        <v>3470555.1428158423</v>
      </c>
      <c r="D39" s="284"/>
      <c r="E39" s="241">
        <f>G24+G25+G26+G27+G28+G29+G30+G32+E18</f>
        <v>2856726.1428158423</v>
      </c>
      <c r="F39" s="242"/>
      <c r="G39" s="241">
        <f>G31+G18</f>
        <v>613829</v>
      </c>
      <c r="H39" s="251"/>
      <c r="I39" s="118"/>
      <c r="J39" s="119"/>
      <c r="K39" s="100"/>
      <c r="L39" s="100"/>
    </row>
    <row r="40" spans="2:14" ht="30" customHeight="1" thickBot="1">
      <c r="B40" s="153" t="s">
        <v>144</v>
      </c>
      <c r="C40" s="243">
        <f>E40+G40</f>
        <v>-119154.33281584235</v>
      </c>
      <c r="D40" s="244"/>
      <c r="E40" s="254">
        <f>E38-E39</f>
        <v>-160084.14281584229</v>
      </c>
      <c r="F40" s="255"/>
      <c r="G40" s="254">
        <f>G38-G39</f>
        <v>40929.809999999939</v>
      </c>
      <c r="H40" s="256"/>
      <c r="I40" s="118"/>
      <c r="J40" s="119"/>
      <c r="K40" s="100"/>
      <c r="L40" s="100"/>
    </row>
    <row r="41" spans="2:14" ht="30.75" customHeight="1">
      <c r="B41" s="52" t="s">
        <v>77</v>
      </c>
      <c r="C41" s="232" t="s">
        <v>147</v>
      </c>
      <c r="D41" s="232"/>
      <c r="E41" s="232"/>
      <c r="F41" s="258" t="s">
        <v>169</v>
      </c>
      <c r="G41" s="258"/>
      <c r="H41" s="126"/>
      <c r="I41" s="126"/>
      <c r="J41" s="97"/>
      <c r="K41" s="97"/>
      <c r="L41" s="97"/>
      <c r="M41" s="180"/>
      <c r="N41" s="180"/>
    </row>
    <row r="42" spans="2:14" ht="8.25" customHeight="1">
      <c r="B42" s="52"/>
      <c r="C42" s="53"/>
      <c r="D42" s="53"/>
      <c r="E42" s="199"/>
      <c r="F42" s="259"/>
      <c r="G42" s="259"/>
      <c r="H42" s="126"/>
      <c r="I42" s="126"/>
      <c r="J42" s="97"/>
      <c r="K42" s="97"/>
      <c r="L42" s="97"/>
      <c r="M42" s="180"/>
      <c r="N42" s="180"/>
    </row>
    <row r="43" spans="2:14" ht="12" customHeight="1">
      <c r="B43" s="52" t="s">
        <v>78</v>
      </c>
      <c r="C43" s="232" t="s">
        <v>147</v>
      </c>
      <c r="D43" s="232"/>
      <c r="E43" s="232"/>
      <c r="F43" s="258" t="s">
        <v>93</v>
      </c>
      <c r="G43" s="258"/>
      <c r="H43" s="126"/>
      <c r="I43" s="126"/>
      <c r="J43" s="97"/>
      <c r="K43" s="97"/>
      <c r="L43" s="97"/>
      <c r="M43" s="180"/>
      <c r="N43" s="180"/>
    </row>
    <row r="44" spans="2:14" ht="9.75" customHeight="1">
      <c r="B44" s="52"/>
      <c r="C44" s="53"/>
      <c r="D44" s="53"/>
      <c r="E44" s="199"/>
      <c r="F44" s="258"/>
      <c r="G44" s="258"/>
      <c r="H44" s="126"/>
      <c r="I44" s="126"/>
    </row>
    <row r="45" spans="2:14" ht="12.75" customHeight="1">
      <c r="B45" s="52" t="s">
        <v>79</v>
      </c>
      <c r="C45" s="232" t="s">
        <v>148</v>
      </c>
      <c r="D45" s="232"/>
      <c r="E45" s="232"/>
      <c r="F45" s="258" t="s">
        <v>170</v>
      </c>
      <c r="G45" s="258"/>
      <c r="H45" s="126"/>
      <c r="I45" s="126"/>
    </row>
    <row r="46" spans="2:14" ht="6" customHeight="1">
      <c r="B46" s="54"/>
      <c r="C46" s="55"/>
      <c r="D46" s="55"/>
      <c r="E46" s="199"/>
      <c r="F46" s="183"/>
      <c r="G46" s="54"/>
      <c r="H46" s="122"/>
      <c r="I46" s="121"/>
    </row>
    <row r="47" spans="2:14">
      <c r="B47" s="52" t="s">
        <v>80</v>
      </c>
      <c r="C47" s="232" t="s">
        <v>148</v>
      </c>
      <c r="D47" s="232"/>
      <c r="E47" s="232"/>
      <c r="F47" s="258" t="s">
        <v>170</v>
      </c>
      <c r="G47" s="258"/>
      <c r="H47" s="126"/>
      <c r="I47" s="126"/>
    </row>
    <row r="48" spans="2:14" ht="12.75" customHeight="1">
      <c r="B48" s="1"/>
      <c r="C48" s="14"/>
      <c r="D48" s="3"/>
      <c r="E48" s="196"/>
      <c r="F48" s="1"/>
      <c r="G48" s="1"/>
      <c r="H48" s="80"/>
      <c r="I48" s="80"/>
    </row>
    <row r="49" spans="3:5">
      <c r="C49" s="113"/>
      <c r="E49" s="123"/>
    </row>
    <row r="50" spans="3:5">
      <c r="C50" s="113"/>
    </row>
    <row r="51" spans="3:5">
      <c r="C51" s="113"/>
    </row>
    <row r="52" spans="3:5">
      <c r="C52" s="113"/>
    </row>
  </sheetData>
  <mergeCells count="54">
    <mergeCell ref="M21:M22"/>
    <mergeCell ref="N21:N22"/>
    <mergeCell ref="C19:D19"/>
    <mergeCell ref="E19:F19"/>
    <mergeCell ref="G19:H19"/>
    <mergeCell ref="C36:D36"/>
    <mergeCell ref="C37:D37"/>
    <mergeCell ref="C17:D17"/>
    <mergeCell ref="E17:F17"/>
    <mergeCell ref="G17:H17"/>
    <mergeCell ref="C18:D18"/>
    <mergeCell ref="E18:F18"/>
    <mergeCell ref="G18:H18"/>
    <mergeCell ref="C22:C23"/>
    <mergeCell ref="D22:D23"/>
    <mergeCell ref="E22:E23"/>
    <mergeCell ref="F22:G22"/>
    <mergeCell ref="B14:H14"/>
    <mergeCell ref="C15:D15"/>
    <mergeCell ref="E15:F15"/>
    <mergeCell ref="G15:H15"/>
    <mergeCell ref="C16:D16"/>
    <mergeCell ref="E16:F16"/>
    <mergeCell ref="G16:H16"/>
    <mergeCell ref="B1:H1"/>
    <mergeCell ref="B3:H4"/>
    <mergeCell ref="E38:F38"/>
    <mergeCell ref="F45:G45"/>
    <mergeCell ref="F42:G42"/>
    <mergeCell ref="G39:H39"/>
    <mergeCell ref="G40:H40"/>
    <mergeCell ref="F41:G41"/>
    <mergeCell ref="D6:E6"/>
    <mergeCell ref="E36:F36"/>
    <mergeCell ref="B21:H21"/>
    <mergeCell ref="B22:B23"/>
    <mergeCell ref="E40:F40"/>
    <mergeCell ref="H22:H23"/>
    <mergeCell ref="G36:H36"/>
    <mergeCell ref="B35:H35"/>
    <mergeCell ref="F47:G47"/>
    <mergeCell ref="E39:F39"/>
    <mergeCell ref="F43:G43"/>
    <mergeCell ref="E37:F37"/>
    <mergeCell ref="F44:G44"/>
    <mergeCell ref="G37:H37"/>
    <mergeCell ref="G38:H38"/>
    <mergeCell ref="C45:E45"/>
    <mergeCell ref="C47:E47"/>
    <mergeCell ref="C38:D38"/>
    <mergeCell ref="C39:D39"/>
    <mergeCell ref="C40:D40"/>
    <mergeCell ref="C41:E41"/>
    <mergeCell ref="C43:E43"/>
  </mergeCells>
  <printOptions horizontalCentered="1"/>
  <pageMargins left="0.19685039370078741" right="0.19685039370078741" top="0.15748031496062992" bottom="0.23622047244094491" header="0.31496062992125984" footer="0.31496062992125984"/>
  <pageSetup paperSize="9" scale="4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tabColor rgb="FF0070C0"/>
    <pageSetUpPr fitToPage="1"/>
  </sheetPr>
  <dimension ref="A1:N51"/>
  <sheetViews>
    <sheetView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5.7109375" style="1" customWidth="1"/>
    <col min="3" max="3" width="14.7109375" style="14" customWidth="1"/>
    <col min="4" max="4" width="8.5703125" style="3" customWidth="1"/>
    <col min="5" max="5" width="10.140625" style="3" customWidth="1"/>
    <col min="6" max="6" width="10.28515625" style="1" customWidth="1"/>
    <col min="7" max="7" width="10.42578125" style="1" customWidth="1"/>
    <col min="8" max="8" width="10.85546875" style="1" customWidth="1"/>
    <col min="9" max="9" width="15.42578125" style="1" customWidth="1"/>
    <col min="10" max="10" width="14.85546875" style="1" customWidth="1"/>
    <col min="11" max="12" width="9.140625" style="1"/>
    <col min="13" max="13" width="17.28515625" style="179" customWidth="1"/>
    <col min="14" max="14" width="16.7109375" style="179" customWidth="1"/>
    <col min="15" max="16384" width="9.140625" style="1"/>
  </cols>
  <sheetData>
    <row r="1" spans="1:9">
      <c r="B1" s="262" t="s">
        <v>119</v>
      </c>
      <c r="C1" s="262"/>
      <c r="D1" s="262"/>
      <c r="E1" s="262"/>
      <c r="F1" s="262"/>
      <c r="G1" s="262"/>
      <c r="H1" s="262"/>
    </row>
    <row r="2" spans="1:9">
      <c r="B2" s="262" t="s">
        <v>120</v>
      </c>
      <c r="C2" s="262"/>
      <c r="D2" s="262"/>
      <c r="E2" s="262"/>
      <c r="F2" s="262"/>
      <c r="G2" s="262"/>
      <c r="H2" s="262"/>
    </row>
    <row r="3" spans="1:9">
      <c r="B3" s="262" t="s">
        <v>158</v>
      </c>
      <c r="C3" s="262"/>
      <c r="D3" s="262"/>
      <c r="E3" s="262"/>
      <c r="F3" s="262"/>
      <c r="G3" s="262"/>
      <c r="H3" s="262"/>
    </row>
    <row r="4" spans="1:9" ht="15.75" customHeight="1">
      <c r="B4" s="262" t="s">
        <v>174</v>
      </c>
      <c r="C4" s="262"/>
      <c r="D4" s="262"/>
      <c r="E4" s="262"/>
      <c r="F4" s="262"/>
      <c r="G4" s="262"/>
      <c r="H4" s="262"/>
    </row>
    <row r="5" spans="1:9" ht="15.75" customHeight="1">
      <c r="A5" s="218"/>
      <c r="B5" s="263" t="s">
        <v>175</v>
      </c>
      <c r="C5" s="263"/>
      <c r="D5" s="263"/>
      <c r="E5" s="263"/>
      <c r="F5" s="263"/>
      <c r="G5" s="263"/>
      <c r="H5" s="263"/>
    </row>
    <row r="6" spans="1:9" ht="21" customHeight="1">
      <c r="A6" s="218"/>
      <c r="B6" s="263"/>
      <c r="C6" s="263"/>
      <c r="D6" s="263"/>
      <c r="E6" s="263"/>
      <c r="F6" s="263"/>
      <c r="G6" s="263"/>
      <c r="H6" s="263"/>
    </row>
    <row r="7" spans="1:9" ht="9" customHeight="1"/>
    <row r="8" spans="1:9">
      <c r="B8" s="163" t="s">
        <v>0</v>
      </c>
      <c r="C8" s="164"/>
      <c r="D8" s="270" t="s">
        <v>43</v>
      </c>
      <c r="E8" s="270"/>
    </row>
    <row r="9" spans="1:9">
      <c r="B9" s="163" t="s">
        <v>1</v>
      </c>
      <c r="C9" s="164"/>
      <c r="D9" s="209">
        <v>1963</v>
      </c>
      <c r="E9" s="209"/>
    </row>
    <row r="10" spans="1:9" hidden="1" outlineLevel="1">
      <c r="B10" s="163" t="s">
        <v>2</v>
      </c>
      <c r="C10" s="164"/>
      <c r="D10" s="209">
        <v>4</v>
      </c>
      <c r="E10" s="209"/>
    </row>
    <row r="11" spans="1:9" hidden="1" outlineLevel="1">
      <c r="B11" s="163" t="s">
        <v>3</v>
      </c>
      <c r="C11" s="164"/>
      <c r="D11" s="209">
        <v>63</v>
      </c>
      <c r="E11" s="209"/>
    </row>
    <row r="12" spans="1:9" ht="30.75" hidden="1" customHeight="1" outlineLevel="1">
      <c r="B12" s="165" t="s">
        <v>4</v>
      </c>
      <c r="C12" s="166"/>
      <c r="D12" s="209" t="s">
        <v>44</v>
      </c>
      <c r="E12" s="209"/>
    </row>
    <row r="13" spans="1:9" collapsed="1">
      <c r="B13" s="163" t="s">
        <v>5</v>
      </c>
      <c r="C13" s="164"/>
      <c r="D13" s="209" t="s">
        <v>111</v>
      </c>
      <c r="E13" s="209"/>
      <c r="I13" s="5"/>
    </row>
    <row r="14" spans="1:9" hidden="1" outlineLevel="1">
      <c r="B14" s="1" t="s">
        <v>6</v>
      </c>
      <c r="D14" s="156" t="s">
        <v>7</v>
      </c>
      <c r="E14" s="156"/>
    </row>
    <row r="15" spans="1:9" ht="30.75" hidden="1" customHeight="1" outlineLevel="1">
      <c r="B15" s="15" t="s">
        <v>8</v>
      </c>
      <c r="C15" s="16"/>
      <c r="D15" s="210" t="s">
        <v>45</v>
      </c>
      <c r="E15" s="156"/>
      <c r="I15" s="5"/>
    </row>
    <row r="16" spans="1:9" ht="16.5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4" ht="39.7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4">
      <c r="B18" s="150" t="s">
        <v>11</v>
      </c>
      <c r="C18" s="275">
        <v>5655621.3100000005</v>
      </c>
      <c r="D18" s="276"/>
      <c r="E18" s="237">
        <v>4141690.6300000004</v>
      </c>
      <c r="F18" s="238"/>
      <c r="G18" s="237">
        <v>1513930.68</v>
      </c>
      <c r="H18" s="253"/>
      <c r="I18" s="5"/>
    </row>
    <row r="19" spans="2:14">
      <c r="B19" s="151" t="s">
        <v>12</v>
      </c>
      <c r="C19" s="239">
        <v>5405083.0499999998</v>
      </c>
      <c r="D19" s="277"/>
      <c r="E19" s="239">
        <v>3945941.1999999997</v>
      </c>
      <c r="F19" s="240"/>
      <c r="G19" s="239">
        <v>1459141.85</v>
      </c>
      <c r="H19" s="250"/>
      <c r="I19" s="5"/>
    </row>
    <row r="20" spans="2:14" ht="16.5" thickBot="1">
      <c r="B20" s="152" t="s">
        <v>88</v>
      </c>
      <c r="C20" s="278">
        <v>5613064.2918999996</v>
      </c>
      <c r="D20" s="279"/>
      <c r="E20" s="241">
        <v>4173157.2919000001</v>
      </c>
      <c r="F20" s="242"/>
      <c r="G20" s="241">
        <v>1439907</v>
      </c>
      <c r="H20" s="251"/>
      <c r="I20" s="5"/>
    </row>
    <row r="21" spans="2:14" ht="36.75" thickBot="1">
      <c r="B21" s="153" t="s">
        <v>143</v>
      </c>
      <c r="C21" s="243">
        <f>E21+G21</f>
        <v>-207981.24190000026</v>
      </c>
      <c r="D21" s="244"/>
      <c r="E21" s="254">
        <f>E19-E20</f>
        <v>-227216.09190000035</v>
      </c>
      <c r="F21" s="255"/>
      <c r="G21" s="254">
        <f>G19-G20</f>
        <v>19234.850000000093</v>
      </c>
      <c r="H21" s="256"/>
      <c r="I21" s="5"/>
    </row>
    <row r="22" spans="2:14">
      <c r="B22" s="15"/>
      <c r="C22" s="16"/>
      <c r="D22" s="210"/>
      <c r="E22" s="156"/>
      <c r="I22" s="5"/>
    </row>
    <row r="23" spans="2:14" ht="36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4" ht="34.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5"/>
      <c r="M24" s="234"/>
      <c r="N24" s="234"/>
    </row>
    <row r="25" spans="2:14" ht="42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1">
        <v>426196.08</v>
      </c>
      <c r="N25" s="201">
        <f>M25</f>
        <v>426196.08</v>
      </c>
    </row>
    <row r="26" spans="2:14" ht="45" customHeight="1">
      <c r="B26" s="19" t="s">
        <v>86</v>
      </c>
      <c r="C26" s="20" t="s">
        <v>97</v>
      </c>
      <c r="D26" s="21" t="s">
        <v>98</v>
      </c>
      <c r="E26" s="22">
        <v>1.75</v>
      </c>
      <c r="F26" s="23">
        <f>$M$25/$M$26*E26</f>
        <v>51155.222222222226</v>
      </c>
      <c r="G26" s="24">
        <f>$N$25/$N$26*E26</f>
        <v>51155.222222222226</v>
      </c>
      <c r="H26" s="25">
        <f>F26-G26</f>
        <v>0</v>
      </c>
      <c r="I26" s="26"/>
      <c r="J26" s="208"/>
      <c r="K26" s="208"/>
      <c r="L26" s="27"/>
      <c r="M26" s="203">
        <f>E35-E33</f>
        <v>14.579999999999998</v>
      </c>
      <c r="N26" s="203">
        <f>M26</f>
        <v>14.579999999999998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1.96</v>
      </c>
      <c r="F27" s="23">
        <f t="shared" ref="F27:F34" si="0">$M$25/$M$26*E27</f>
        <v>57293.848888888897</v>
      </c>
      <c r="G27" s="24">
        <f t="shared" ref="G27:G31" si="1">$N$25/$N$26*E27</f>
        <v>57293.848888888897</v>
      </c>
      <c r="H27" s="25">
        <f t="shared" ref="H27:H32" si="2">F27-G27</f>
        <v>0</v>
      </c>
      <c r="I27" s="31"/>
      <c r="J27" s="2"/>
      <c r="K27" s="2"/>
      <c r="L27" s="2"/>
      <c r="M27" s="180"/>
      <c r="N27" s="180"/>
    </row>
    <row r="28" spans="2:14" ht="38.2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9354.0977777777789</v>
      </c>
      <c r="G28" s="24">
        <f t="shared" si="1"/>
        <v>9354.0977777777789</v>
      </c>
      <c r="H28" s="25">
        <f t="shared" si="2"/>
        <v>0</v>
      </c>
      <c r="I28" s="33"/>
      <c r="L28" s="5"/>
    </row>
    <row r="29" spans="2:14" ht="25.5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16954.302222222224</v>
      </c>
      <c r="G29" s="24">
        <f t="shared" si="1"/>
        <v>16954.302222222224</v>
      </c>
      <c r="H29" s="25">
        <f t="shared" si="2"/>
        <v>0</v>
      </c>
      <c r="I29" s="33"/>
      <c r="L29" s="5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40339.546666666669</v>
      </c>
      <c r="G30" s="24">
        <f t="shared" si="1"/>
        <v>40339.546666666669</v>
      </c>
      <c r="H30" s="25">
        <f t="shared" si="2"/>
        <v>0</v>
      </c>
      <c r="I30" s="33"/>
    </row>
    <row r="31" spans="2:14" ht="213.75" customHeight="1">
      <c r="B31" s="28" t="s">
        <v>121</v>
      </c>
      <c r="C31" s="20" t="s">
        <v>100</v>
      </c>
      <c r="D31" s="21" t="s">
        <v>98</v>
      </c>
      <c r="E31" s="29">
        <v>6.77</v>
      </c>
      <c r="F31" s="23">
        <f t="shared" si="0"/>
        <v>197897.63111111111</v>
      </c>
      <c r="G31" s="24">
        <f t="shared" si="1"/>
        <v>197897.63111111111</v>
      </c>
      <c r="H31" s="25">
        <f t="shared" si="2"/>
        <v>0</v>
      </c>
      <c r="I31" s="31"/>
      <c r="J31" s="2"/>
      <c r="K31" s="2"/>
      <c r="L31" s="4"/>
      <c r="M31" s="180"/>
      <c r="N31" s="180"/>
    </row>
    <row r="32" spans="2:14" ht="111" customHeight="1">
      <c r="B32" s="28" t="s">
        <v>102</v>
      </c>
      <c r="C32" s="20" t="s">
        <v>97</v>
      </c>
      <c r="D32" s="21" t="s">
        <v>98</v>
      </c>
      <c r="E32" s="29">
        <v>0.35</v>
      </c>
      <c r="F32" s="23">
        <f t="shared" si="0"/>
        <v>10231.044444444446</v>
      </c>
      <c r="G32" s="24">
        <f t="shared" ref="G32" si="3">$N$25/$N$26*E32</f>
        <v>10231.044444444446</v>
      </c>
      <c r="H32" s="25">
        <f t="shared" si="2"/>
        <v>0</v>
      </c>
      <c r="I32" s="33"/>
    </row>
    <row r="33" spans="2:14" ht="27.75" customHeight="1">
      <c r="B33" s="32" t="s">
        <v>91</v>
      </c>
      <c r="C33" s="20" t="s">
        <v>97</v>
      </c>
      <c r="D33" s="21" t="s">
        <v>98</v>
      </c>
      <c r="E33" s="29">
        <v>5.2</v>
      </c>
      <c r="F33" s="23">
        <v>152161.72</v>
      </c>
      <c r="G33" s="30">
        <v>27086</v>
      </c>
      <c r="H33" s="25">
        <f>F33-G33</f>
        <v>125075.72</v>
      </c>
      <c r="I33" s="33"/>
      <c r="L33" s="5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1.47</v>
      </c>
      <c r="F34" s="23">
        <f t="shared" si="0"/>
        <v>42970.386666666673</v>
      </c>
      <c r="G34" s="24">
        <f t="shared" ref="G34" si="4">$N$25/$N$26*E34</f>
        <v>42970.386666666673</v>
      </c>
      <c r="H34" s="25">
        <f>F34-G34</f>
        <v>0</v>
      </c>
      <c r="I34" s="33"/>
    </row>
    <row r="35" spans="2:14" ht="16.5" thickBot="1">
      <c r="B35" s="39" t="s">
        <v>89</v>
      </c>
      <c r="C35" s="40"/>
      <c r="D35" s="40"/>
      <c r="E35" s="41">
        <f>SUM(E26:E34)</f>
        <v>19.779999999999998</v>
      </c>
      <c r="F35" s="42">
        <f>SUM(F26:F34)</f>
        <v>578357.80000000005</v>
      </c>
      <c r="G35" s="43">
        <f>SUM(G26:G34)</f>
        <v>453282.08</v>
      </c>
      <c r="H35" s="44">
        <f>SUM(H26:H34)</f>
        <v>125075.72</v>
      </c>
      <c r="I35" s="65"/>
      <c r="J35" s="5"/>
    </row>
    <row r="36" spans="2:14">
      <c r="B36" s="5"/>
      <c r="C36" s="5"/>
      <c r="D36" s="5"/>
      <c r="E36" s="14"/>
      <c r="F36" s="14"/>
      <c r="G36" s="14"/>
      <c r="H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40.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69"/>
      <c r="J38" s="158"/>
      <c r="K38" s="46"/>
      <c r="L38" s="47"/>
      <c r="M38" s="181"/>
      <c r="N38" s="181"/>
    </row>
    <row r="39" spans="2:14">
      <c r="B39" s="150" t="s">
        <v>11</v>
      </c>
      <c r="C39" s="237">
        <f>E39+G39</f>
        <v>6233979.1099999994</v>
      </c>
      <c r="D39" s="238"/>
      <c r="E39" s="237">
        <f>F26+F27+F28+F29+F30+F31+F32+F34+E18</f>
        <v>4567886.71</v>
      </c>
      <c r="F39" s="238"/>
      <c r="G39" s="237">
        <f>F33+G18</f>
        <v>1666092.4</v>
      </c>
      <c r="H39" s="253"/>
      <c r="I39" s="159"/>
      <c r="J39" s="160"/>
      <c r="K39" s="49"/>
      <c r="L39" s="49"/>
      <c r="M39" s="204"/>
    </row>
    <row r="40" spans="2:14">
      <c r="B40" s="151" t="s">
        <v>12</v>
      </c>
      <c r="C40" s="239">
        <f>E40+G40</f>
        <v>5945599.1699999999</v>
      </c>
      <c r="D40" s="240"/>
      <c r="E40" s="239">
        <f>E19+398310.15</f>
        <v>4344251.3499999996</v>
      </c>
      <c r="F40" s="240"/>
      <c r="G40" s="239">
        <f>G19+142205.97</f>
        <v>1601347.82</v>
      </c>
      <c r="H40" s="250"/>
      <c r="I40" s="159"/>
      <c r="J40" s="161"/>
      <c r="K40" s="51"/>
      <c r="L40" s="49"/>
      <c r="M40" s="204"/>
    </row>
    <row r="41" spans="2:14" ht="16.5" thickBot="1">
      <c r="B41" s="152" t="s">
        <v>88</v>
      </c>
      <c r="C41" s="241">
        <f>E41+G41</f>
        <v>6066346.3718999997</v>
      </c>
      <c r="D41" s="242"/>
      <c r="E41" s="241">
        <f>G26+G27+G28+G29+G30+G31+G32+G34+E20</f>
        <v>4599353.3718999997</v>
      </c>
      <c r="F41" s="242"/>
      <c r="G41" s="241">
        <f>G33+G20</f>
        <v>1466993</v>
      </c>
      <c r="H41" s="251"/>
      <c r="I41" s="159"/>
      <c r="J41" s="48"/>
      <c r="K41" s="33"/>
      <c r="L41" s="33"/>
    </row>
    <row r="42" spans="2:14" ht="33" customHeight="1" thickBot="1">
      <c r="B42" s="153" t="s">
        <v>144</v>
      </c>
      <c r="C42" s="243">
        <f>E42+G42</f>
        <v>-120747.20189999999</v>
      </c>
      <c r="D42" s="244"/>
      <c r="E42" s="254">
        <f>E40-E41</f>
        <v>-255102.02190000005</v>
      </c>
      <c r="F42" s="255"/>
      <c r="G42" s="254">
        <f>G40-G41</f>
        <v>134354.82000000007</v>
      </c>
      <c r="H42" s="256"/>
      <c r="I42" s="162"/>
      <c r="J42" s="147"/>
      <c r="K42" s="33"/>
      <c r="L42" s="33"/>
    </row>
    <row r="43" spans="2:14" ht="15.75" customHeight="1">
      <c r="B43" s="76"/>
      <c r="C43" s="145"/>
      <c r="D43" s="145"/>
      <c r="E43" s="147"/>
      <c r="F43" s="147"/>
      <c r="G43" s="147"/>
      <c r="H43" s="147"/>
      <c r="I43" s="170"/>
      <c r="J43" s="31"/>
      <c r="K43" s="2"/>
      <c r="L43" s="2"/>
      <c r="M43" s="180"/>
      <c r="N43" s="180"/>
    </row>
    <row r="44" spans="2:14" ht="1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170"/>
      <c r="J44" s="31"/>
      <c r="K44" s="2"/>
      <c r="L44" s="2"/>
      <c r="M44" s="180"/>
      <c r="N44" s="180"/>
    </row>
    <row r="45" spans="2:14" ht="7.5" customHeight="1">
      <c r="B45" s="52"/>
      <c r="C45" s="53"/>
      <c r="D45" s="53"/>
      <c r="E45" s="219"/>
      <c r="F45" s="259"/>
      <c r="G45" s="259"/>
      <c r="H45" s="52"/>
      <c r="I45" s="52"/>
      <c r="J45" s="2"/>
      <c r="K45" s="2"/>
      <c r="L45" s="2"/>
      <c r="M45" s="180"/>
      <c r="N45" s="180"/>
    </row>
    <row r="46" spans="2:14" ht="16.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4" ht="7.5" customHeight="1">
      <c r="B47" s="52"/>
      <c r="C47" s="53"/>
      <c r="D47" s="53"/>
      <c r="E47" s="219"/>
      <c r="F47" s="258"/>
      <c r="G47" s="258"/>
      <c r="H47" s="52"/>
      <c r="I47" s="52"/>
    </row>
    <row r="48" spans="2:14" ht="14.2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6"/>
    </row>
    <row r="49" spans="2:9" ht="5.25" customHeight="1">
      <c r="B49" s="54"/>
      <c r="C49" s="55"/>
      <c r="D49" s="55"/>
      <c r="E49" s="219"/>
      <c r="F49" s="183"/>
      <c r="G49" s="54"/>
      <c r="H49" s="56"/>
      <c r="I49" s="52"/>
    </row>
    <row r="50" spans="2:9" ht="17.2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  <c r="I50" s="3"/>
    </row>
    <row r="51" spans="2:9">
      <c r="E51" s="211"/>
    </row>
  </sheetData>
  <mergeCells count="57">
    <mergeCell ref="B1:H1"/>
    <mergeCell ref="G39:H39"/>
    <mergeCell ref="B5:H6"/>
    <mergeCell ref="D8:E8"/>
    <mergeCell ref="B23:H23"/>
    <mergeCell ref="B24:B25"/>
    <mergeCell ref="C24:C25"/>
    <mergeCell ref="D24:D25"/>
    <mergeCell ref="E24:E25"/>
    <mergeCell ref="F24:G24"/>
    <mergeCell ref="H24:H25"/>
    <mergeCell ref="B2:H2"/>
    <mergeCell ref="B3:H3"/>
    <mergeCell ref="B37:H37"/>
    <mergeCell ref="E19:F19"/>
    <mergeCell ref="G19:H19"/>
    <mergeCell ref="C18:D18"/>
    <mergeCell ref="E18:F18"/>
    <mergeCell ref="G18:H18"/>
    <mergeCell ref="C21:D21"/>
    <mergeCell ref="E21:F21"/>
    <mergeCell ref="G21:H21"/>
    <mergeCell ref="C19:D19"/>
    <mergeCell ref="C20:D20"/>
    <mergeCell ref="G20:H20"/>
    <mergeCell ref="E20:F20"/>
    <mergeCell ref="B4:H4"/>
    <mergeCell ref="B16:H16"/>
    <mergeCell ref="C17:D17"/>
    <mergeCell ref="E17:F17"/>
    <mergeCell ref="G17:H17"/>
    <mergeCell ref="G38:H38"/>
    <mergeCell ref="E38:F38"/>
    <mergeCell ref="C40:D40"/>
    <mergeCell ref="C41:D41"/>
    <mergeCell ref="C42:D42"/>
    <mergeCell ref="C46:E46"/>
    <mergeCell ref="C48:E48"/>
    <mergeCell ref="E42:F42"/>
    <mergeCell ref="G41:H41"/>
    <mergeCell ref="G42:H42"/>
    <mergeCell ref="M23:M24"/>
    <mergeCell ref="N23:N24"/>
    <mergeCell ref="C38:D38"/>
    <mergeCell ref="F50:G50"/>
    <mergeCell ref="E39:F39"/>
    <mergeCell ref="F46:G46"/>
    <mergeCell ref="E40:F40"/>
    <mergeCell ref="F47:G47"/>
    <mergeCell ref="E41:F41"/>
    <mergeCell ref="F48:G48"/>
    <mergeCell ref="C50:E50"/>
    <mergeCell ref="G40:H40"/>
    <mergeCell ref="F44:G44"/>
    <mergeCell ref="F45:G45"/>
    <mergeCell ref="C44:E44"/>
    <mergeCell ref="C39:D39"/>
  </mergeCells>
  <printOptions horizontalCentered="1"/>
  <pageMargins left="0.19685039370078741" right="0.19685039370078741" top="0.15748031496062992" bottom="0.23622047244094491" header="0.31496062992125984" footer="0.31496062992125984"/>
  <pageSetup paperSize="9" scale="4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tabColor rgb="FF0070C0"/>
    <pageSetUpPr fitToPage="1"/>
  </sheetPr>
  <dimension ref="A1:P53"/>
  <sheetViews>
    <sheetView tabSelected="1" topLeftCell="B1" zoomScale="110" zoomScaleNormal="110" workbookViewId="0">
      <selection activeCell="B1" sqref="B1:H51"/>
    </sheetView>
  </sheetViews>
  <sheetFormatPr defaultColWidth="9.140625" defaultRowHeight="15.75" outlineLevelRow="1"/>
  <cols>
    <col min="1" max="1" width="2.85546875" style="1" customWidth="1"/>
    <col min="2" max="2" width="56" style="1" customWidth="1"/>
    <col min="3" max="3" width="15.140625" style="127" customWidth="1"/>
    <col min="4" max="4" width="8.28515625" style="3" customWidth="1"/>
    <col min="5" max="5" width="9.28515625" style="3" customWidth="1"/>
    <col min="6" max="6" width="11.7109375" style="1" customWidth="1"/>
    <col min="7" max="8" width="11" style="1" customWidth="1"/>
    <col min="9" max="9" width="14.85546875" style="1" customWidth="1"/>
    <col min="10" max="10" width="15.7109375" style="1" customWidth="1"/>
    <col min="11" max="12" width="9.140625" style="1"/>
    <col min="13" max="13" width="14.85546875" style="179" customWidth="1"/>
    <col min="14" max="14" width="15.140625" style="179" customWidth="1"/>
    <col min="15" max="16384" width="9.140625" style="1"/>
  </cols>
  <sheetData>
    <row r="1" spans="1:9">
      <c r="B1" s="262" t="s">
        <v>119</v>
      </c>
      <c r="C1" s="262"/>
      <c r="D1" s="262"/>
      <c r="E1" s="262"/>
      <c r="F1" s="262"/>
      <c r="G1" s="262"/>
      <c r="H1" s="262"/>
    </row>
    <row r="2" spans="1:9">
      <c r="B2" s="262" t="s">
        <v>120</v>
      </c>
      <c r="C2" s="262"/>
      <c r="D2" s="262"/>
      <c r="E2" s="262"/>
      <c r="F2" s="262"/>
      <c r="G2" s="262"/>
      <c r="H2" s="262"/>
    </row>
    <row r="3" spans="1:9">
      <c r="B3" s="262" t="s">
        <v>159</v>
      </c>
      <c r="C3" s="262"/>
      <c r="D3" s="262"/>
      <c r="E3" s="262"/>
      <c r="F3" s="262"/>
      <c r="G3" s="262"/>
      <c r="H3" s="262"/>
    </row>
    <row r="4" spans="1:9">
      <c r="B4" s="262" t="s">
        <v>174</v>
      </c>
      <c r="C4" s="262"/>
      <c r="D4" s="262"/>
      <c r="E4" s="262"/>
      <c r="F4" s="262"/>
      <c r="G4" s="262"/>
      <c r="H4" s="262"/>
    </row>
    <row r="5" spans="1:9" ht="19.5" customHeight="1">
      <c r="A5" s="71"/>
      <c r="B5" s="263" t="s">
        <v>175</v>
      </c>
      <c r="C5" s="263"/>
      <c r="D5" s="263"/>
      <c r="E5" s="263"/>
      <c r="F5" s="263"/>
      <c r="G5" s="263"/>
      <c r="H5" s="263"/>
    </row>
    <row r="6" spans="1:9" ht="20.25" customHeight="1">
      <c r="A6" s="71"/>
      <c r="B6" s="263"/>
      <c r="C6" s="263"/>
      <c r="D6" s="263"/>
      <c r="E6" s="263"/>
      <c r="F6" s="263"/>
      <c r="G6" s="263"/>
      <c r="H6" s="263"/>
    </row>
    <row r="7" spans="1:9" ht="8.25" customHeight="1"/>
    <row r="8" spans="1:9">
      <c r="B8" s="163" t="s">
        <v>0</v>
      </c>
      <c r="C8" s="174"/>
      <c r="D8" s="270" t="s">
        <v>46</v>
      </c>
      <c r="E8" s="270"/>
      <c r="F8" s="163"/>
    </row>
    <row r="9" spans="1:9">
      <c r="B9" s="163" t="s">
        <v>1</v>
      </c>
      <c r="C9" s="174"/>
      <c r="D9" s="229">
        <v>2009</v>
      </c>
      <c r="E9" s="229"/>
      <c r="F9" s="163"/>
    </row>
    <row r="10" spans="1:9" ht="15.75" hidden="1" customHeight="1" outlineLevel="1">
      <c r="B10" s="163" t="s">
        <v>2</v>
      </c>
      <c r="C10" s="174"/>
      <c r="D10" s="229">
        <v>5</v>
      </c>
      <c r="E10" s="229"/>
      <c r="F10" s="163"/>
    </row>
    <row r="11" spans="1:9" ht="15.75" hidden="1" customHeight="1" outlineLevel="1">
      <c r="B11" s="163" t="s">
        <v>3</v>
      </c>
      <c r="C11" s="174"/>
      <c r="D11" s="229">
        <v>40</v>
      </c>
      <c r="E11" s="229"/>
      <c r="F11" s="163"/>
    </row>
    <row r="12" spans="1:9" ht="30.75" hidden="1" customHeight="1" outlineLevel="1">
      <c r="B12" s="165" t="s">
        <v>4</v>
      </c>
      <c r="C12" s="175"/>
      <c r="D12" s="229" t="s">
        <v>47</v>
      </c>
      <c r="E12" s="229"/>
      <c r="F12" s="163"/>
    </row>
    <row r="13" spans="1:9" collapsed="1">
      <c r="B13" s="163" t="s">
        <v>5</v>
      </c>
      <c r="C13" s="174"/>
      <c r="D13" s="229" t="s">
        <v>125</v>
      </c>
      <c r="E13" s="229"/>
      <c r="F13" s="163"/>
      <c r="I13" s="5"/>
    </row>
    <row r="14" spans="1:9" ht="15.75" hidden="1" customHeight="1" outlineLevel="1">
      <c r="B14" s="1" t="s">
        <v>6</v>
      </c>
      <c r="D14" s="156" t="s">
        <v>7</v>
      </c>
      <c r="E14" s="156"/>
    </row>
    <row r="15" spans="1:9" ht="30.75" hidden="1" customHeight="1" outlineLevel="1">
      <c r="B15" s="15" t="s">
        <v>8</v>
      </c>
      <c r="C15" s="128"/>
      <c r="D15" s="230" t="s">
        <v>45</v>
      </c>
      <c r="E15" s="156"/>
      <c r="I15" s="5"/>
    </row>
    <row r="16" spans="1:9" ht="16.5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6" ht="39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6">
      <c r="B18" s="150" t="s">
        <v>11</v>
      </c>
      <c r="C18" s="275">
        <v>3464286.86</v>
      </c>
      <c r="D18" s="288"/>
      <c r="E18" s="275">
        <v>2671112.4</v>
      </c>
      <c r="F18" s="288"/>
      <c r="G18" s="275">
        <v>793174.46000000008</v>
      </c>
      <c r="H18" s="294"/>
      <c r="I18" s="5"/>
    </row>
    <row r="19" spans="2:16">
      <c r="B19" s="151" t="s">
        <v>12</v>
      </c>
      <c r="C19" s="239">
        <v>3273274.71</v>
      </c>
      <c r="D19" s="289"/>
      <c r="E19" s="239">
        <v>2519454.71</v>
      </c>
      <c r="F19" s="289"/>
      <c r="G19" s="239">
        <v>753819.99999999988</v>
      </c>
      <c r="H19" s="295"/>
      <c r="I19" s="5"/>
    </row>
    <row r="20" spans="2:16" ht="16.5" thickBot="1">
      <c r="B20" s="152" t="s">
        <v>88</v>
      </c>
      <c r="C20" s="278">
        <v>3464919.9548999993</v>
      </c>
      <c r="D20" s="285"/>
      <c r="E20" s="278">
        <v>2701268.9548999993</v>
      </c>
      <c r="F20" s="285"/>
      <c r="G20" s="278">
        <v>763651</v>
      </c>
      <c r="H20" s="293"/>
      <c r="I20" s="5"/>
    </row>
    <row r="21" spans="2:16" ht="36.75" thickBot="1">
      <c r="B21" s="153" t="s">
        <v>143</v>
      </c>
      <c r="C21" s="243">
        <f>E21+G21</f>
        <v>-191645.24489999947</v>
      </c>
      <c r="D21" s="286"/>
      <c r="E21" s="254">
        <f>E19-E20</f>
        <v>-181814.24489999935</v>
      </c>
      <c r="F21" s="286"/>
      <c r="G21" s="254">
        <f>G19-G20</f>
        <v>-9831.0000000001164</v>
      </c>
      <c r="H21" s="296"/>
      <c r="I21" s="5"/>
    </row>
    <row r="22" spans="2:16">
      <c r="B22" s="15"/>
      <c r="C22" s="128"/>
      <c r="D22" s="230"/>
      <c r="E22" s="156"/>
      <c r="I22" s="5"/>
    </row>
    <row r="23" spans="2:16" ht="34.5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6" s="228" customFormat="1" ht="32.2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I24" s="1"/>
      <c r="J24" s="1"/>
      <c r="K24" s="1"/>
      <c r="L24" s="5"/>
      <c r="M24" s="287"/>
      <c r="N24" s="287"/>
      <c r="O24" s="1"/>
      <c r="P24" s="1"/>
    </row>
    <row r="25" spans="2:16" s="2" customFormat="1" ht="53.2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I25" s="1"/>
      <c r="J25" s="1"/>
      <c r="K25" s="1"/>
      <c r="L25" s="1"/>
      <c r="M25" s="201">
        <v>299158.24</v>
      </c>
      <c r="N25" s="201">
        <f>M25</f>
        <v>299158.24</v>
      </c>
      <c r="O25" s="1"/>
      <c r="P25" s="1"/>
    </row>
    <row r="26" spans="2:16" ht="45" customHeight="1">
      <c r="B26" s="19" t="s">
        <v>86</v>
      </c>
      <c r="C26" s="20" t="s">
        <v>97</v>
      </c>
      <c r="D26" s="21" t="s">
        <v>98</v>
      </c>
      <c r="E26" s="22">
        <v>1.53</v>
      </c>
      <c r="F26" s="23">
        <f>$M$25/$M$26*E26</f>
        <v>32810.903741935486</v>
      </c>
      <c r="G26" s="24">
        <f>$N$25/$N$26*E26</f>
        <v>32810.903741935486</v>
      </c>
      <c r="H26" s="25">
        <f>F26-G26</f>
        <v>0</v>
      </c>
      <c r="I26" s="26"/>
      <c r="J26" s="228"/>
      <c r="K26" s="228"/>
      <c r="L26" s="27"/>
      <c r="M26" s="203">
        <f>E36-E33</f>
        <v>13.95</v>
      </c>
      <c r="N26" s="203">
        <f>M26</f>
        <v>13.95</v>
      </c>
    </row>
    <row r="27" spans="2:16" ht="51">
      <c r="B27" s="28" t="s">
        <v>90</v>
      </c>
      <c r="C27" s="20" t="s">
        <v>97</v>
      </c>
      <c r="D27" s="21" t="s">
        <v>98</v>
      </c>
      <c r="E27" s="29">
        <v>1.72</v>
      </c>
      <c r="F27" s="23">
        <f t="shared" ref="F27:F34" si="0">$M$25/$M$26*E27</f>
        <v>36885.460415770613</v>
      </c>
      <c r="G27" s="24">
        <f t="shared" ref="G27:G31" si="1">$N$25/$N$26*E27</f>
        <v>36885.460415770613</v>
      </c>
      <c r="H27" s="25">
        <f t="shared" ref="H27:H32" si="2">F27-G27</f>
        <v>0</v>
      </c>
      <c r="I27" s="31"/>
      <c r="J27" s="2"/>
      <c r="K27" s="2"/>
      <c r="L27" s="2"/>
      <c r="M27" s="180"/>
      <c r="N27" s="180"/>
    </row>
    <row r="28" spans="2:16" ht="37.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6862.4112401433695</v>
      </c>
      <c r="G28" s="24">
        <f t="shared" si="1"/>
        <v>6862.4112401433695</v>
      </c>
      <c r="H28" s="25">
        <f t="shared" si="2"/>
        <v>0</v>
      </c>
      <c r="I28" s="33"/>
      <c r="L28" s="5"/>
    </row>
    <row r="29" spans="2:16" ht="25.5">
      <c r="B29" s="32" t="s">
        <v>84</v>
      </c>
      <c r="C29" s="34" t="s">
        <v>99</v>
      </c>
      <c r="D29" s="21" t="s">
        <v>98</v>
      </c>
      <c r="E29" s="29">
        <v>0.15</v>
      </c>
      <c r="F29" s="23">
        <f t="shared" si="0"/>
        <v>3216.7552688172045</v>
      </c>
      <c r="G29" s="24">
        <f t="shared" si="1"/>
        <v>3216.7552688172045</v>
      </c>
      <c r="H29" s="25">
        <f t="shared" si="2"/>
        <v>0</v>
      </c>
      <c r="I29" s="33"/>
      <c r="L29" s="5"/>
    </row>
    <row r="30" spans="2:16" s="2" customFormat="1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29594.148473118279</v>
      </c>
      <c r="G30" s="24">
        <f t="shared" si="1"/>
        <v>29594.148473118279</v>
      </c>
      <c r="H30" s="25">
        <f t="shared" si="2"/>
        <v>0</v>
      </c>
      <c r="I30" s="33"/>
      <c r="J30" s="1"/>
      <c r="K30" s="1"/>
      <c r="L30" s="1"/>
      <c r="M30" s="179"/>
      <c r="N30" s="179"/>
      <c r="O30" s="1"/>
      <c r="P30" s="1"/>
    </row>
    <row r="31" spans="2:16" ht="22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140250.52972043012</v>
      </c>
      <c r="G31" s="24">
        <f t="shared" si="1"/>
        <v>140250.52972043012</v>
      </c>
      <c r="H31" s="25">
        <f t="shared" si="2"/>
        <v>0</v>
      </c>
      <c r="I31" s="31"/>
      <c r="J31" s="2"/>
      <c r="K31" s="2"/>
      <c r="L31" s="4"/>
      <c r="M31" s="180"/>
      <c r="N31" s="180"/>
    </row>
    <row r="32" spans="2:16" ht="114" customHeight="1">
      <c r="B32" s="28" t="s">
        <v>102</v>
      </c>
      <c r="C32" s="20" t="s">
        <v>97</v>
      </c>
      <c r="D32" s="21" t="s">
        <v>98</v>
      </c>
      <c r="E32" s="29">
        <v>0.35</v>
      </c>
      <c r="F32" s="23">
        <f t="shared" si="0"/>
        <v>7505.7622939068096</v>
      </c>
      <c r="G32" s="24">
        <f t="shared" ref="G32:G34" si="3">$N$25/$N$26*E32</f>
        <v>7505.7622939068096</v>
      </c>
      <c r="H32" s="25">
        <f t="shared" si="2"/>
        <v>0</v>
      </c>
      <c r="I32" s="33"/>
    </row>
    <row r="33" spans="2:16" ht="27.75" customHeight="1">
      <c r="B33" s="32" t="s">
        <v>91</v>
      </c>
      <c r="C33" s="20" t="s">
        <v>97</v>
      </c>
      <c r="D33" s="21" t="s">
        <v>98</v>
      </c>
      <c r="E33" s="29">
        <v>5</v>
      </c>
      <c r="F33" s="23">
        <v>107010.08</v>
      </c>
      <c r="G33" s="30">
        <v>105991</v>
      </c>
      <c r="H33" s="25">
        <f>F33-G33</f>
        <v>1019.0800000000017</v>
      </c>
      <c r="I33" s="33"/>
      <c r="L33" s="5"/>
    </row>
    <row r="34" spans="2:16">
      <c r="B34" s="32" t="s">
        <v>92</v>
      </c>
      <c r="C34" s="34" t="s">
        <v>99</v>
      </c>
      <c r="D34" s="21" t="s">
        <v>98</v>
      </c>
      <c r="E34" s="29">
        <v>0.56000000000000005</v>
      </c>
      <c r="F34" s="23">
        <f t="shared" si="0"/>
        <v>12009.219670250897</v>
      </c>
      <c r="G34" s="24">
        <f t="shared" si="3"/>
        <v>12009.219670250897</v>
      </c>
      <c r="H34" s="25">
        <f t="shared" ref="H34:H35" si="4">F34-G34</f>
        <v>0</v>
      </c>
      <c r="I34" s="33"/>
      <c r="J34" s="64"/>
      <c r="K34" s="64"/>
      <c r="L34" s="5"/>
      <c r="M34" s="181"/>
    </row>
    <row r="35" spans="2:16">
      <c r="B35" s="32" t="s">
        <v>85</v>
      </c>
      <c r="C35" s="129" t="s">
        <v>100</v>
      </c>
      <c r="D35" s="21" t="s">
        <v>98</v>
      </c>
      <c r="E35" s="29">
        <v>1.4</v>
      </c>
      <c r="F35" s="23">
        <f t="shared" ref="F35" si="5">$M$25/$M$26*E35</f>
        <v>30023.049175627239</v>
      </c>
      <c r="G35" s="24">
        <f t="shared" ref="G35" si="6">$N$25/$N$26*E35</f>
        <v>30023.049175627239</v>
      </c>
      <c r="H35" s="25">
        <f t="shared" si="4"/>
        <v>0</v>
      </c>
      <c r="I35" s="33"/>
    </row>
    <row r="36" spans="2:16" s="66" customFormat="1" ht="16.5" thickBot="1">
      <c r="B36" s="130" t="s">
        <v>89</v>
      </c>
      <c r="C36" s="131"/>
      <c r="D36" s="131"/>
      <c r="E36" s="132">
        <f>SUM(E26:E35)</f>
        <v>18.95</v>
      </c>
      <c r="F36" s="133">
        <f>SUM(F26:F35)</f>
        <v>406168.32000000001</v>
      </c>
      <c r="G36" s="134">
        <f>SUM(G26:G35)</f>
        <v>405149.24</v>
      </c>
      <c r="H36" s="135">
        <f>SUM(H26:H35)</f>
        <v>1019.0800000000017</v>
      </c>
      <c r="I36" s="65"/>
      <c r="J36" s="5"/>
      <c r="K36" s="1"/>
      <c r="L36" s="1"/>
      <c r="M36" s="179"/>
      <c r="N36" s="179"/>
      <c r="O36" s="1"/>
      <c r="P36" s="1"/>
    </row>
    <row r="37" spans="2:16" s="3" customFormat="1">
      <c r="B37" s="5"/>
      <c r="C37" s="5"/>
      <c r="D37" s="5"/>
      <c r="E37" s="14"/>
      <c r="F37" s="14"/>
      <c r="G37" s="14"/>
      <c r="I37" s="1"/>
      <c r="J37" s="1"/>
      <c r="K37" s="1"/>
      <c r="L37" s="1"/>
      <c r="M37" s="179"/>
      <c r="N37" s="179"/>
      <c r="O37" s="1"/>
      <c r="P37" s="1"/>
    </row>
    <row r="38" spans="2:16" ht="16.5" customHeight="1" thickBot="1">
      <c r="B38" s="249" t="s">
        <v>178</v>
      </c>
      <c r="C38" s="249"/>
      <c r="D38" s="249"/>
      <c r="E38" s="249"/>
      <c r="F38" s="249"/>
      <c r="G38" s="249"/>
      <c r="H38" s="249"/>
      <c r="I38" s="45"/>
      <c r="J38" s="45"/>
    </row>
    <row r="39" spans="2:16" ht="45.75" customHeight="1" thickBot="1">
      <c r="B39" s="200" t="s">
        <v>179</v>
      </c>
      <c r="C39" s="235" t="s">
        <v>101</v>
      </c>
      <c r="D39" s="236"/>
      <c r="E39" s="245" t="s">
        <v>9</v>
      </c>
      <c r="F39" s="246"/>
      <c r="G39" s="245" t="s">
        <v>10</v>
      </c>
      <c r="H39" s="252"/>
      <c r="I39" s="157"/>
      <c r="J39" s="158"/>
      <c r="K39" s="46"/>
      <c r="L39" s="47"/>
      <c r="M39" s="181"/>
      <c r="N39" s="181"/>
    </row>
    <row r="40" spans="2:16">
      <c r="B40" s="150" t="s">
        <v>11</v>
      </c>
      <c r="C40" s="275">
        <f>E40+G40</f>
        <v>3870455.1999999997</v>
      </c>
      <c r="D40" s="288"/>
      <c r="E40" s="275">
        <f>F27+F28+F29+F30+F31+F34+F32+F35+E18+F26</f>
        <v>2970270.6399999997</v>
      </c>
      <c r="F40" s="288"/>
      <c r="G40" s="275">
        <f>F33+G18+0.02</f>
        <v>900184.56</v>
      </c>
      <c r="H40" s="294"/>
      <c r="I40" s="159"/>
      <c r="J40" s="160"/>
      <c r="K40" s="49"/>
      <c r="L40" s="49"/>
      <c r="M40" s="204"/>
    </row>
    <row r="41" spans="2:16">
      <c r="B41" s="151" t="s">
        <v>12</v>
      </c>
      <c r="C41" s="239">
        <f>E41+G41</f>
        <v>3740807.88</v>
      </c>
      <c r="D41" s="289"/>
      <c r="E41" s="239">
        <f>E19+326518.52</f>
        <v>2845973.23</v>
      </c>
      <c r="F41" s="289"/>
      <c r="G41" s="239">
        <f>G19+141014.65</f>
        <v>894834.64999999991</v>
      </c>
      <c r="H41" s="295"/>
      <c r="I41" s="159"/>
      <c r="J41" s="161"/>
      <c r="K41" s="51"/>
      <c r="L41" s="49"/>
      <c r="M41" s="204"/>
    </row>
    <row r="42" spans="2:16" s="2" customFormat="1" ht="16.5" thickBot="1">
      <c r="B42" s="152" t="s">
        <v>88</v>
      </c>
      <c r="C42" s="278">
        <f>E42+G42</f>
        <v>3870069.1948999991</v>
      </c>
      <c r="D42" s="285"/>
      <c r="E42" s="278">
        <f>G27+G28+G29+G30+G31+G32+G34+G35+E20+G26</f>
        <v>3000427.1948999991</v>
      </c>
      <c r="F42" s="285"/>
      <c r="G42" s="278">
        <f>G33+G20</f>
        <v>869642</v>
      </c>
      <c r="H42" s="293"/>
      <c r="I42" s="159"/>
      <c r="J42" s="48"/>
      <c r="K42" s="33"/>
      <c r="L42" s="33"/>
      <c r="M42" s="179"/>
      <c r="N42" s="179"/>
      <c r="O42" s="1"/>
      <c r="P42" s="1"/>
    </row>
    <row r="43" spans="2:16" s="2" customFormat="1" ht="28.5" customHeight="1" thickBot="1">
      <c r="B43" s="153" t="s">
        <v>144</v>
      </c>
      <c r="C43" s="243">
        <f>E43+G43</f>
        <v>-129261.31489999918</v>
      </c>
      <c r="D43" s="286"/>
      <c r="E43" s="254">
        <f>E41-E42</f>
        <v>-154453.96489999909</v>
      </c>
      <c r="F43" s="286"/>
      <c r="G43" s="254">
        <f>G41-G42</f>
        <v>25192.649999999907</v>
      </c>
      <c r="H43" s="296"/>
      <c r="I43" s="162"/>
      <c r="J43" s="147"/>
      <c r="K43" s="33"/>
      <c r="L43" s="33"/>
      <c r="M43" s="179"/>
      <c r="N43" s="179"/>
      <c r="O43" s="1"/>
      <c r="P43" s="1"/>
    </row>
    <row r="44" spans="2:16" s="2" customFormat="1" ht="18" customHeight="1">
      <c r="B44" s="76"/>
      <c r="C44" s="145"/>
      <c r="D44" s="145"/>
      <c r="E44" s="147"/>
      <c r="F44" s="147"/>
      <c r="G44" s="147"/>
      <c r="H44" s="147"/>
      <c r="I44" s="52"/>
      <c r="M44" s="180"/>
      <c r="N44" s="180"/>
      <c r="O44" s="1"/>
      <c r="P44" s="1"/>
    </row>
    <row r="45" spans="2:16" ht="16.5" customHeight="1">
      <c r="B45" s="52" t="s">
        <v>77</v>
      </c>
      <c r="C45" s="232" t="s">
        <v>147</v>
      </c>
      <c r="D45" s="232"/>
      <c r="E45" s="232"/>
      <c r="F45" s="258" t="s">
        <v>169</v>
      </c>
      <c r="G45" s="258"/>
      <c r="H45" s="52"/>
      <c r="I45" s="52"/>
      <c r="J45" s="2"/>
      <c r="K45" s="2"/>
      <c r="L45" s="2"/>
      <c r="M45" s="180"/>
      <c r="N45" s="180"/>
    </row>
    <row r="46" spans="2:16" ht="8.25" customHeight="1">
      <c r="B46" s="52"/>
      <c r="C46" s="53"/>
      <c r="D46" s="53"/>
      <c r="E46" s="231"/>
      <c r="F46" s="259"/>
      <c r="G46" s="259"/>
      <c r="H46" s="52"/>
      <c r="I46" s="52"/>
      <c r="J46" s="2"/>
      <c r="K46" s="2"/>
      <c r="L46" s="2"/>
      <c r="M46" s="180"/>
      <c r="N46" s="180"/>
    </row>
    <row r="47" spans="2:16" ht="15.75" customHeight="1">
      <c r="B47" s="52" t="s">
        <v>78</v>
      </c>
      <c r="C47" s="232" t="s">
        <v>147</v>
      </c>
      <c r="D47" s="232"/>
      <c r="E47" s="232"/>
      <c r="F47" s="258" t="s">
        <v>93</v>
      </c>
      <c r="G47" s="258"/>
      <c r="H47" s="52"/>
      <c r="I47" s="52"/>
    </row>
    <row r="48" spans="2:16" ht="9.75" customHeight="1">
      <c r="B48" s="52"/>
      <c r="C48" s="53"/>
      <c r="D48" s="53"/>
      <c r="E48" s="231"/>
      <c r="F48" s="258"/>
      <c r="G48" s="258"/>
      <c r="H48" s="52"/>
      <c r="I48" s="52"/>
    </row>
    <row r="49" spans="2:9" ht="13.5" customHeight="1">
      <c r="B49" s="52" t="s">
        <v>79</v>
      </c>
      <c r="C49" s="232" t="s">
        <v>148</v>
      </c>
      <c r="D49" s="232"/>
      <c r="E49" s="232"/>
      <c r="F49" s="258" t="s">
        <v>170</v>
      </c>
      <c r="G49" s="258"/>
      <c r="H49" s="52"/>
      <c r="I49" s="6"/>
    </row>
    <row r="50" spans="2:9" ht="6.75" customHeight="1">
      <c r="B50" s="54"/>
      <c r="C50" s="55"/>
      <c r="D50" s="55"/>
      <c r="E50" s="231"/>
      <c r="F50" s="183"/>
      <c r="G50" s="54"/>
      <c r="H50" s="56"/>
      <c r="I50" s="52"/>
    </row>
    <row r="51" spans="2:9" ht="14.25" customHeight="1">
      <c r="B51" s="52" t="s">
        <v>80</v>
      </c>
      <c r="C51" s="232" t="s">
        <v>148</v>
      </c>
      <c r="D51" s="232"/>
      <c r="E51" s="232"/>
      <c r="F51" s="258" t="s">
        <v>170</v>
      </c>
      <c r="G51" s="258"/>
      <c r="H51" s="52"/>
      <c r="I51" s="3"/>
    </row>
    <row r="52" spans="2:9">
      <c r="B52" s="8"/>
      <c r="C52" s="69"/>
      <c r="D52" s="70"/>
      <c r="E52" s="70"/>
      <c r="F52" s="8"/>
      <c r="G52" s="8"/>
    </row>
    <row r="53" spans="2:9">
      <c r="C53" s="1"/>
      <c r="D53" s="1"/>
      <c r="E53" s="1"/>
    </row>
  </sheetData>
  <mergeCells count="57">
    <mergeCell ref="B1:H1"/>
    <mergeCell ref="D8:E8"/>
    <mergeCell ref="B5:H6"/>
    <mergeCell ref="B38:H38"/>
    <mergeCell ref="B23:H23"/>
    <mergeCell ref="B24:B25"/>
    <mergeCell ref="C24:C25"/>
    <mergeCell ref="D24:D25"/>
    <mergeCell ref="E24:E25"/>
    <mergeCell ref="F24:G24"/>
    <mergeCell ref="H24:H25"/>
    <mergeCell ref="B2:H2"/>
    <mergeCell ref="B3:H3"/>
    <mergeCell ref="B4:H4"/>
    <mergeCell ref="F51:G51"/>
    <mergeCell ref="E41:F41"/>
    <mergeCell ref="F48:G48"/>
    <mergeCell ref="E42:F42"/>
    <mergeCell ref="E43:F43"/>
    <mergeCell ref="C49:E49"/>
    <mergeCell ref="F49:G49"/>
    <mergeCell ref="C51:E51"/>
    <mergeCell ref="F46:G46"/>
    <mergeCell ref="E40:F40"/>
    <mergeCell ref="F47:G47"/>
    <mergeCell ref="F45:G45"/>
    <mergeCell ref="G42:H42"/>
    <mergeCell ref="G43:H43"/>
    <mergeCell ref="C47:E47"/>
    <mergeCell ref="C40:D40"/>
    <mergeCell ref="C41:D41"/>
    <mergeCell ref="C42:D42"/>
    <mergeCell ref="C43:D43"/>
    <mergeCell ref="C45:E45"/>
    <mergeCell ref="G41:H41"/>
    <mergeCell ref="G40:H40"/>
    <mergeCell ref="C39:D39"/>
    <mergeCell ref="B16:H16"/>
    <mergeCell ref="C17:D17"/>
    <mergeCell ref="E17:F17"/>
    <mergeCell ref="G17:H17"/>
    <mergeCell ref="C18:D18"/>
    <mergeCell ref="E18:F18"/>
    <mergeCell ref="G18:H18"/>
    <mergeCell ref="G39:H39"/>
    <mergeCell ref="E39:F39"/>
    <mergeCell ref="M23:M24"/>
    <mergeCell ref="N23:N24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</mergeCells>
  <printOptions horizontalCentered="1"/>
  <pageMargins left="0.19685039370078741" right="0.19685039370078741" top="0.15748031496062992" bottom="0.23622047244094491" header="0.15" footer="0.31496062992125984"/>
  <pageSetup paperSize="9" scale="4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tabColor rgb="FF0070C0"/>
    <pageSetUpPr fitToPage="1"/>
  </sheetPr>
  <dimension ref="B1:N51"/>
  <sheetViews>
    <sheetView topLeftCell="A32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5.7109375" style="1" customWidth="1"/>
    <col min="3" max="3" width="14.85546875" style="127" customWidth="1"/>
    <col min="4" max="4" width="8.85546875" style="3" customWidth="1"/>
    <col min="5" max="5" width="10.140625" style="3" customWidth="1"/>
    <col min="6" max="6" width="10.140625" style="1" customWidth="1"/>
    <col min="7" max="7" width="10.28515625" style="1" customWidth="1"/>
    <col min="8" max="8" width="10.85546875" style="1" customWidth="1"/>
    <col min="9" max="10" width="14.5703125" style="1" customWidth="1"/>
    <col min="11" max="12" width="9.140625" style="1"/>
    <col min="13" max="13" width="15.140625" style="179" customWidth="1"/>
    <col min="14" max="14" width="14.85546875" style="179" customWidth="1"/>
    <col min="15" max="16384" width="9.140625" style="1"/>
  </cols>
  <sheetData>
    <row r="1" spans="2:9">
      <c r="B1" s="262" t="s">
        <v>119</v>
      </c>
      <c r="C1" s="262"/>
      <c r="D1" s="262"/>
      <c r="E1" s="262"/>
      <c r="F1" s="262"/>
      <c r="G1" s="262"/>
      <c r="H1" s="262"/>
    </row>
    <row r="2" spans="2:9">
      <c r="B2" s="262" t="s">
        <v>120</v>
      </c>
      <c r="C2" s="262"/>
      <c r="D2" s="262"/>
      <c r="E2" s="262"/>
      <c r="F2" s="262"/>
      <c r="G2" s="262"/>
      <c r="H2" s="262"/>
    </row>
    <row r="3" spans="2:9">
      <c r="B3" s="262" t="s">
        <v>160</v>
      </c>
      <c r="C3" s="262"/>
      <c r="D3" s="262"/>
      <c r="E3" s="262"/>
      <c r="F3" s="262"/>
      <c r="G3" s="262"/>
      <c r="H3" s="262"/>
    </row>
    <row r="4" spans="2:9">
      <c r="B4" s="262" t="s">
        <v>174</v>
      </c>
      <c r="C4" s="262"/>
      <c r="D4" s="262"/>
      <c r="E4" s="262"/>
      <c r="F4" s="262"/>
      <c r="G4" s="262"/>
      <c r="H4" s="262"/>
    </row>
    <row r="5" spans="2:9" ht="23.25" customHeight="1">
      <c r="B5" s="263" t="s">
        <v>175</v>
      </c>
      <c r="C5" s="263"/>
      <c r="D5" s="263"/>
      <c r="E5" s="263"/>
      <c r="F5" s="263"/>
      <c r="G5" s="263"/>
      <c r="H5" s="263"/>
    </row>
    <row r="6" spans="2:9" ht="20.25" customHeight="1">
      <c r="B6" s="263"/>
      <c r="C6" s="263"/>
      <c r="D6" s="263"/>
      <c r="E6" s="263"/>
      <c r="F6" s="263"/>
      <c r="G6" s="263"/>
      <c r="H6" s="263"/>
    </row>
    <row r="7" spans="2:9" ht="8.25" customHeight="1"/>
    <row r="8" spans="2:9">
      <c r="B8" s="163" t="s">
        <v>0</v>
      </c>
      <c r="C8" s="174"/>
      <c r="D8" s="270" t="s">
        <v>48</v>
      </c>
      <c r="E8" s="270"/>
    </row>
    <row r="9" spans="2:9">
      <c r="B9" s="163" t="s">
        <v>1</v>
      </c>
      <c r="C9" s="174"/>
      <c r="D9" s="209">
        <v>1970</v>
      </c>
      <c r="E9" s="209"/>
    </row>
    <row r="10" spans="2:9" hidden="1" outlineLevel="1">
      <c r="B10" s="163" t="s">
        <v>2</v>
      </c>
      <c r="C10" s="174"/>
      <c r="D10" s="209">
        <v>4</v>
      </c>
      <c r="E10" s="209"/>
    </row>
    <row r="11" spans="2:9" hidden="1" outlineLevel="1">
      <c r="B11" s="163" t="s">
        <v>3</v>
      </c>
      <c r="C11" s="174"/>
      <c r="D11" s="209">
        <v>48</v>
      </c>
      <c r="E11" s="209"/>
    </row>
    <row r="12" spans="2:9" ht="30.75" hidden="1" customHeight="1" outlineLevel="1">
      <c r="B12" s="165" t="s">
        <v>4</v>
      </c>
      <c r="C12" s="175"/>
      <c r="D12" s="209" t="s">
        <v>49</v>
      </c>
      <c r="E12" s="209"/>
    </row>
    <row r="13" spans="2:9" collapsed="1">
      <c r="B13" s="163" t="s">
        <v>5</v>
      </c>
      <c r="C13" s="174"/>
      <c r="D13" s="209" t="s">
        <v>112</v>
      </c>
      <c r="E13" s="209"/>
      <c r="I13" s="5"/>
    </row>
    <row r="14" spans="2:9" hidden="1" outlineLevel="1">
      <c r="B14" s="1" t="s">
        <v>6</v>
      </c>
      <c r="D14" s="156" t="s">
        <v>7</v>
      </c>
      <c r="E14" s="156"/>
    </row>
    <row r="15" spans="2:9" ht="30.75" hidden="1" customHeight="1" outlineLevel="1">
      <c r="B15" s="15" t="s">
        <v>8</v>
      </c>
      <c r="C15" s="128"/>
      <c r="D15" s="210" t="s">
        <v>50</v>
      </c>
      <c r="E15" s="156"/>
      <c r="I15" s="5"/>
    </row>
    <row r="16" spans="2:9" ht="16.5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4" ht="42.7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4">
      <c r="B18" s="150" t="s">
        <v>11</v>
      </c>
      <c r="C18" s="275">
        <v>4067302.64</v>
      </c>
      <c r="D18" s="276"/>
      <c r="E18" s="237">
        <v>3082746.6</v>
      </c>
      <c r="F18" s="238"/>
      <c r="G18" s="237">
        <v>984556.03999999992</v>
      </c>
      <c r="H18" s="253"/>
      <c r="I18" s="5"/>
    </row>
    <row r="19" spans="2:14">
      <c r="B19" s="151" t="s">
        <v>12</v>
      </c>
      <c r="C19" s="239">
        <v>4008954.4600000009</v>
      </c>
      <c r="D19" s="277"/>
      <c r="E19" s="239">
        <v>3039816.6800000006</v>
      </c>
      <c r="F19" s="240"/>
      <c r="G19" s="239">
        <v>969137.78</v>
      </c>
      <c r="H19" s="250"/>
      <c r="I19" s="5"/>
    </row>
    <row r="20" spans="2:14" ht="16.5" thickBot="1">
      <c r="B20" s="152" t="s">
        <v>88</v>
      </c>
      <c r="C20" s="278">
        <v>4157854.3229999999</v>
      </c>
      <c r="D20" s="279"/>
      <c r="E20" s="241">
        <v>3180695.3229999999</v>
      </c>
      <c r="F20" s="242"/>
      <c r="G20" s="241">
        <v>977159</v>
      </c>
      <c r="H20" s="251"/>
      <c r="I20" s="5"/>
    </row>
    <row r="21" spans="2:14" ht="31.5" customHeight="1" thickBot="1">
      <c r="B21" s="153" t="s">
        <v>143</v>
      </c>
      <c r="C21" s="243">
        <f>E21+G21</f>
        <v>-148899.8629999992</v>
      </c>
      <c r="D21" s="244"/>
      <c r="E21" s="254">
        <f>E19-E20</f>
        <v>-140878.64299999923</v>
      </c>
      <c r="F21" s="255"/>
      <c r="G21" s="254">
        <f>G19-G20</f>
        <v>-8021.2199999999721</v>
      </c>
      <c r="H21" s="256"/>
      <c r="I21" s="5"/>
    </row>
    <row r="22" spans="2:14">
      <c r="B22" s="15"/>
      <c r="C22" s="128"/>
      <c r="D22" s="210"/>
      <c r="E22" s="156"/>
      <c r="I22" s="5"/>
    </row>
    <row r="23" spans="2:14" ht="36.75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4" ht="31.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5"/>
      <c r="M24" s="234"/>
      <c r="N24" s="234"/>
    </row>
    <row r="25" spans="2:14" ht="43.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1">
        <v>356306.01</v>
      </c>
      <c r="N25" s="201">
        <f>M25</f>
        <v>356306.01</v>
      </c>
    </row>
    <row r="26" spans="2:14" ht="38.25">
      <c r="B26" s="19" t="s">
        <v>86</v>
      </c>
      <c r="C26" s="20" t="s">
        <v>97</v>
      </c>
      <c r="D26" s="21" t="s">
        <v>98</v>
      </c>
      <c r="E26" s="22">
        <v>1.81</v>
      </c>
      <c r="F26" s="23">
        <f t="shared" ref="F26:F32" si="0">$M$25/$M$26*E26</f>
        <v>44384.988169304896</v>
      </c>
      <c r="G26" s="24">
        <f t="shared" ref="G26:G32" si="1">$N$25/$N$26*E26</f>
        <v>44384.988169304896</v>
      </c>
      <c r="H26" s="25">
        <f>F26-G26</f>
        <v>0</v>
      </c>
      <c r="I26" s="26"/>
      <c r="J26" s="208"/>
      <c r="K26" s="208"/>
      <c r="L26" s="27"/>
      <c r="M26" s="203">
        <f>E35-E33</f>
        <v>14.529999999999998</v>
      </c>
      <c r="N26" s="203">
        <f>M26</f>
        <v>14.529999999999998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2.04</v>
      </c>
      <c r="F27" s="23">
        <f t="shared" si="0"/>
        <v>50025.069538885073</v>
      </c>
      <c r="G27" s="24">
        <f t="shared" si="1"/>
        <v>50025.069538885073</v>
      </c>
      <c r="H27" s="25">
        <f t="shared" ref="H27:H32" si="2">F27-G27</f>
        <v>0</v>
      </c>
      <c r="I27" s="31"/>
      <c r="J27" s="2"/>
      <c r="K27" s="2"/>
      <c r="L27" s="2"/>
      <c r="M27" s="180"/>
      <c r="N27" s="180"/>
    </row>
    <row r="28" spans="2:14" ht="41.2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7847.0697315898151</v>
      </c>
      <c r="G28" s="24">
        <f t="shared" si="1"/>
        <v>7847.0697315898151</v>
      </c>
      <c r="H28" s="25">
        <f t="shared" si="2"/>
        <v>0</v>
      </c>
      <c r="I28" s="33"/>
      <c r="L28" s="5"/>
    </row>
    <row r="29" spans="2:14" ht="26.25" customHeight="1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14222.81388850654</v>
      </c>
      <c r="G29" s="24">
        <f t="shared" si="1"/>
        <v>14222.81388850654</v>
      </c>
      <c r="H29" s="25">
        <f t="shared" si="2"/>
        <v>0</v>
      </c>
      <c r="I29" s="33"/>
      <c r="L29" s="5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33840.488217481077</v>
      </c>
      <c r="G30" s="24">
        <f t="shared" si="1"/>
        <v>33840.488217481077</v>
      </c>
      <c r="H30" s="25">
        <f t="shared" si="2"/>
        <v>0</v>
      </c>
      <c r="I30" s="33"/>
    </row>
    <row r="31" spans="2:14" ht="216" customHeight="1">
      <c r="B31" s="28" t="s">
        <v>121</v>
      </c>
      <c r="C31" s="20" t="s">
        <v>100</v>
      </c>
      <c r="D31" s="21" t="s">
        <v>98</v>
      </c>
      <c r="E31" s="29">
        <v>6.68</v>
      </c>
      <c r="F31" s="23">
        <f t="shared" si="0"/>
        <v>163807.58064693739</v>
      </c>
      <c r="G31" s="24">
        <f t="shared" si="1"/>
        <v>163807.58064693739</v>
      </c>
      <c r="H31" s="25">
        <f t="shared" si="2"/>
        <v>0</v>
      </c>
      <c r="I31" s="31"/>
      <c r="J31" s="2"/>
      <c r="K31" s="2"/>
      <c r="L31" s="4"/>
      <c r="M31" s="180"/>
      <c r="N31" s="180"/>
    </row>
    <row r="32" spans="2:14" ht="102">
      <c r="B32" s="28" t="s">
        <v>102</v>
      </c>
      <c r="C32" s="20" t="s">
        <v>97</v>
      </c>
      <c r="D32" s="21" t="s">
        <v>98</v>
      </c>
      <c r="E32" s="29">
        <v>0.35</v>
      </c>
      <c r="F32" s="23">
        <f t="shared" si="0"/>
        <v>8582.7325189263593</v>
      </c>
      <c r="G32" s="24">
        <f t="shared" si="1"/>
        <v>8582.7325189263593</v>
      </c>
      <c r="H32" s="25">
        <f t="shared" si="2"/>
        <v>0</v>
      </c>
      <c r="I32" s="33"/>
    </row>
    <row r="33" spans="2:14" ht="27.75" customHeight="1">
      <c r="B33" s="32" t="s">
        <v>91</v>
      </c>
      <c r="C33" s="20" t="s">
        <v>97</v>
      </c>
      <c r="D33" s="21" t="s">
        <v>98</v>
      </c>
      <c r="E33" s="29">
        <v>4</v>
      </c>
      <c r="F33" s="23">
        <v>98272.77</v>
      </c>
      <c r="G33" s="30">
        <v>203893</v>
      </c>
      <c r="H33" s="25">
        <f>F33-G33</f>
        <v>-105620.23</v>
      </c>
      <c r="I33" s="33"/>
      <c r="L33" s="5"/>
    </row>
    <row r="34" spans="2:14" ht="16.5" thickBot="1">
      <c r="B34" s="35" t="s">
        <v>85</v>
      </c>
      <c r="C34" s="36" t="s">
        <v>100</v>
      </c>
      <c r="D34" s="37" t="s">
        <v>98</v>
      </c>
      <c r="E34" s="38">
        <v>1.37</v>
      </c>
      <c r="F34" s="23">
        <f>$M$25/$M$26*E34</f>
        <v>33595.267288368901</v>
      </c>
      <c r="G34" s="24">
        <f t="shared" ref="G34" si="3">$N$25/$N$26*E34</f>
        <v>33595.267288368901</v>
      </c>
      <c r="H34" s="25">
        <f>F34-G34</f>
        <v>0</v>
      </c>
      <c r="I34" s="33"/>
    </row>
    <row r="35" spans="2:14" ht="16.5" thickBot="1">
      <c r="B35" s="39" t="s">
        <v>89</v>
      </c>
      <c r="C35" s="40"/>
      <c r="D35" s="40"/>
      <c r="E35" s="41">
        <f>SUM(E26:E34)</f>
        <v>18.529999999999998</v>
      </c>
      <c r="F35" s="42">
        <f>SUM(F26:F34)</f>
        <v>454578.78000000009</v>
      </c>
      <c r="G35" s="43">
        <f>SUM(G26:G34)</f>
        <v>560199.01</v>
      </c>
      <c r="H35" s="44">
        <f>SUM(H26:H34)</f>
        <v>-105620.23</v>
      </c>
      <c r="I35" s="65"/>
      <c r="J35" s="5"/>
    </row>
    <row r="36" spans="2:14">
      <c r="B36" s="5"/>
      <c r="C36" s="5"/>
      <c r="D36" s="5"/>
      <c r="E36" s="14"/>
      <c r="F36" s="14"/>
      <c r="G36" s="14"/>
      <c r="H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4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69"/>
      <c r="J38" s="158"/>
      <c r="K38" s="46"/>
      <c r="L38" s="47"/>
      <c r="M38" s="181"/>
      <c r="N38" s="181"/>
    </row>
    <row r="39" spans="2:14">
      <c r="B39" s="150" t="s">
        <v>11</v>
      </c>
      <c r="C39" s="237">
        <f>E39+G39</f>
        <v>4521881.42</v>
      </c>
      <c r="D39" s="238"/>
      <c r="E39" s="237">
        <f>F26+F27+F28+F29+F30+F31+F32+F34+E18</f>
        <v>3439052.6100000003</v>
      </c>
      <c r="F39" s="238"/>
      <c r="G39" s="237">
        <f>F33+G18</f>
        <v>1082828.8099999998</v>
      </c>
      <c r="H39" s="253"/>
      <c r="I39" s="159"/>
      <c r="J39" s="160"/>
      <c r="K39" s="49"/>
      <c r="L39" s="49"/>
      <c r="M39" s="204"/>
    </row>
    <row r="40" spans="2:14">
      <c r="B40" s="151" t="s">
        <v>12</v>
      </c>
      <c r="C40" s="239">
        <f>E40+G40</f>
        <v>4437226.4500000011</v>
      </c>
      <c r="D40" s="240"/>
      <c r="E40" s="239">
        <f>E19+335669.14</f>
        <v>3375485.8200000008</v>
      </c>
      <c r="F40" s="240"/>
      <c r="G40" s="239">
        <f>G19+92602.85</f>
        <v>1061740.6300000001</v>
      </c>
      <c r="H40" s="250"/>
      <c r="I40" s="159"/>
      <c r="J40" s="161"/>
      <c r="K40" s="51"/>
      <c r="L40" s="49"/>
      <c r="M40" s="204"/>
    </row>
    <row r="41" spans="2:14" ht="16.5" thickBot="1">
      <c r="B41" s="152" t="s">
        <v>88</v>
      </c>
      <c r="C41" s="241">
        <f>E41+G41</f>
        <v>4718053.3330000006</v>
      </c>
      <c r="D41" s="242"/>
      <c r="E41" s="241">
        <f>G26+G27+G28+G29+G30+G31+G32+G34+E20</f>
        <v>3537001.3330000001</v>
      </c>
      <c r="F41" s="242"/>
      <c r="G41" s="241">
        <f>G33+G20</f>
        <v>1181052</v>
      </c>
      <c r="H41" s="251"/>
      <c r="I41" s="159"/>
      <c r="J41" s="48"/>
      <c r="K41" s="33"/>
      <c r="L41" s="33"/>
    </row>
    <row r="42" spans="2:14" ht="30" customHeight="1" thickBot="1">
      <c r="B42" s="153" t="s">
        <v>144</v>
      </c>
      <c r="C42" s="243">
        <f>E42+G42</f>
        <v>-280826.88299999922</v>
      </c>
      <c r="D42" s="244"/>
      <c r="E42" s="254">
        <f>E40-E41</f>
        <v>-161515.51299999934</v>
      </c>
      <c r="F42" s="255"/>
      <c r="G42" s="254">
        <f>G40-G41</f>
        <v>-119311.36999999988</v>
      </c>
      <c r="H42" s="256"/>
      <c r="I42" s="162"/>
      <c r="J42" s="147"/>
      <c r="K42" s="33"/>
      <c r="L42" s="33"/>
    </row>
    <row r="43" spans="2:14" ht="15" customHeight="1">
      <c r="B43" s="76"/>
      <c r="C43" s="145"/>
      <c r="D43" s="145"/>
      <c r="E43" s="147"/>
      <c r="F43" s="147"/>
      <c r="G43" s="147"/>
      <c r="H43" s="147"/>
      <c r="I43" s="170"/>
      <c r="J43" s="31"/>
      <c r="K43" s="2"/>
      <c r="L43" s="2"/>
      <c r="M43" s="180"/>
      <c r="N43" s="180"/>
    </row>
    <row r="44" spans="2:14" ht="15.7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170"/>
      <c r="J44" s="31"/>
      <c r="K44" s="2"/>
      <c r="L44" s="2"/>
      <c r="M44" s="180"/>
      <c r="N44" s="180"/>
    </row>
    <row r="45" spans="2:14" ht="8.25" customHeight="1">
      <c r="B45" s="52"/>
      <c r="C45" s="53"/>
      <c r="D45" s="53"/>
      <c r="E45" s="219"/>
      <c r="F45" s="259"/>
      <c r="G45" s="259"/>
      <c r="H45" s="52"/>
      <c r="I45" s="170"/>
      <c r="J45" s="31"/>
      <c r="K45" s="2"/>
      <c r="L45" s="2"/>
      <c r="M45" s="180"/>
      <c r="N45" s="180"/>
    </row>
    <row r="46" spans="2:14" ht="15.7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4" ht="6" customHeight="1">
      <c r="B47" s="52"/>
      <c r="C47" s="53"/>
      <c r="D47" s="53"/>
      <c r="E47" s="219"/>
      <c r="F47" s="258"/>
      <c r="G47" s="258"/>
      <c r="H47" s="52"/>
      <c r="I47" s="52"/>
    </row>
    <row r="48" spans="2:14" ht="16.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6"/>
    </row>
    <row r="49" spans="2:9" ht="9" customHeight="1">
      <c r="B49" s="54"/>
      <c r="C49" s="55"/>
      <c r="D49" s="55"/>
      <c r="E49" s="219"/>
      <c r="F49" s="183"/>
      <c r="G49" s="54"/>
      <c r="H49" s="56"/>
      <c r="I49" s="52"/>
    </row>
    <row r="50" spans="2:9" ht="15.7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  <c r="I50" s="3"/>
    </row>
    <row r="51" spans="2:9">
      <c r="B51" s="8"/>
      <c r="C51" s="136"/>
      <c r="D51" s="70"/>
      <c r="E51" s="219"/>
      <c r="F51" s="8"/>
      <c r="G51" s="8"/>
    </row>
  </sheetData>
  <mergeCells count="57">
    <mergeCell ref="E18:F18"/>
    <mergeCell ref="G18:H18"/>
    <mergeCell ref="C19:D19"/>
    <mergeCell ref="C38:D38"/>
    <mergeCell ref="C39:D39"/>
    <mergeCell ref="G20:H20"/>
    <mergeCell ref="C21:D21"/>
    <mergeCell ref="E21:F21"/>
    <mergeCell ref="G21:H21"/>
    <mergeCell ref="C40:D40"/>
    <mergeCell ref="C41:D41"/>
    <mergeCell ref="B1:H1"/>
    <mergeCell ref="B5:H6"/>
    <mergeCell ref="D8:E8"/>
    <mergeCell ref="B23:H23"/>
    <mergeCell ref="B2:H2"/>
    <mergeCell ref="B3:H3"/>
    <mergeCell ref="B4:H4"/>
    <mergeCell ref="B16:H16"/>
    <mergeCell ref="C17:D17"/>
    <mergeCell ref="E17:F17"/>
    <mergeCell ref="G17:H17"/>
    <mergeCell ref="C18:D18"/>
    <mergeCell ref="C20:D20"/>
    <mergeCell ref="E20:F20"/>
    <mergeCell ref="C42:D42"/>
    <mergeCell ref="E38:F38"/>
    <mergeCell ref="F50:G50"/>
    <mergeCell ref="F47:G47"/>
    <mergeCell ref="E41:F41"/>
    <mergeCell ref="E42:F42"/>
    <mergeCell ref="E40:F40"/>
    <mergeCell ref="E39:F39"/>
    <mergeCell ref="F46:G46"/>
    <mergeCell ref="F45:G45"/>
    <mergeCell ref="C44:E44"/>
    <mergeCell ref="C46:E46"/>
    <mergeCell ref="C48:E48"/>
    <mergeCell ref="F48:G48"/>
    <mergeCell ref="C50:E50"/>
    <mergeCell ref="F44:G44"/>
    <mergeCell ref="M23:M24"/>
    <mergeCell ref="N23:N24"/>
    <mergeCell ref="G42:H42"/>
    <mergeCell ref="E19:F19"/>
    <mergeCell ref="G19:H19"/>
    <mergeCell ref="G41:H41"/>
    <mergeCell ref="G40:H40"/>
    <mergeCell ref="G39:H39"/>
    <mergeCell ref="F24:G24"/>
    <mergeCell ref="H24:H25"/>
    <mergeCell ref="G38:H38"/>
    <mergeCell ref="B37:H37"/>
    <mergeCell ref="B24:B25"/>
    <mergeCell ref="C24:C25"/>
    <mergeCell ref="D24:D25"/>
    <mergeCell ref="E24:E25"/>
  </mergeCells>
  <printOptions horizontalCentered="1"/>
  <pageMargins left="0.19685039370078741" right="0.19685039370078741" top="0.15748031496062992" bottom="0.23622047244094491" header="0.31496062992125984" footer="0.31496062992125984"/>
  <pageSetup paperSize="9" scale="4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tabColor rgb="FF0070C0"/>
    <pageSetUpPr fitToPage="1"/>
  </sheetPr>
  <dimension ref="B1:N52"/>
  <sheetViews>
    <sheetView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6.140625" style="1" customWidth="1"/>
    <col min="3" max="3" width="14.7109375" style="127" customWidth="1"/>
    <col min="4" max="4" width="9.140625" style="3" customWidth="1"/>
    <col min="5" max="5" width="9.42578125" style="3" customWidth="1"/>
    <col min="6" max="6" width="9.7109375" style="1" customWidth="1"/>
    <col min="7" max="7" width="10.42578125" style="1" customWidth="1"/>
    <col min="8" max="8" width="10.7109375" style="1" customWidth="1"/>
    <col min="9" max="9" width="15.5703125" style="1" customWidth="1"/>
    <col min="10" max="10" width="16" style="1" customWidth="1"/>
    <col min="11" max="12" width="9.140625" style="1"/>
    <col min="13" max="13" width="18" style="179" customWidth="1"/>
    <col min="14" max="14" width="18.28515625" style="179" customWidth="1"/>
    <col min="15" max="16384" width="9.140625" style="1"/>
  </cols>
  <sheetData>
    <row r="1" spans="2:8">
      <c r="B1" s="262" t="s">
        <v>119</v>
      </c>
      <c r="C1" s="262"/>
      <c r="D1" s="262"/>
      <c r="E1" s="262"/>
      <c r="F1" s="262"/>
      <c r="G1" s="262"/>
      <c r="H1" s="262"/>
    </row>
    <row r="2" spans="2:8">
      <c r="B2" s="262" t="s">
        <v>120</v>
      </c>
      <c r="C2" s="262"/>
      <c r="D2" s="262"/>
      <c r="E2" s="262"/>
      <c r="F2" s="262"/>
      <c r="G2" s="262"/>
      <c r="H2" s="262"/>
    </row>
    <row r="3" spans="2:8">
      <c r="B3" s="262" t="s">
        <v>161</v>
      </c>
      <c r="C3" s="262"/>
      <c r="D3" s="262"/>
      <c r="E3" s="262"/>
      <c r="F3" s="262"/>
      <c r="G3" s="262"/>
      <c r="H3" s="262"/>
    </row>
    <row r="4" spans="2:8">
      <c r="B4" s="262" t="s">
        <v>174</v>
      </c>
      <c r="C4" s="262"/>
      <c r="D4" s="262"/>
      <c r="E4" s="262"/>
      <c r="F4" s="262"/>
      <c r="G4" s="262"/>
      <c r="H4" s="262"/>
    </row>
    <row r="5" spans="2:8" ht="23.25" customHeight="1">
      <c r="B5" s="263" t="s">
        <v>175</v>
      </c>
      <c r="C5" s="263"/>
      <c r="D5" s="263"/>
      <c r="E5" s="263"/>
      <c r="F5" s="263"/>
      <c r="G5" s="263"/>
      <c r="H5" s="263"/>
    </row>
    <row r="6" spans="2:8" ht="20.25" customHeight="1">
      <c r="B6" s="263"/>
      <c r="C6" s="263"/>
      <c r="D6" s="263"/>
      <c r="E6" s="263"/>
      <c r="F6" s="263"/>
      <c r="G6" s="263"/>
      <c r="H6" s="263"/>
    </row>
    <row r="7" spans="2:8" ht="8.25" customHeight="1"/>
    <row r="8" spans="2:8">
      <c r="B8" s="163" t="s">
        <v>0</v>
      </c>
      <c r="C8" s="174"/>
      <c r="D8" s="270" t="s">
        <v>51</v>
      </c>
      <c r="E8" s="270"/>
    </row>
    <row r="9" spans="2:8">
      <c r="B9" s="163" t="s">
        <v>1</v>
      </c>
      <c r="C9" s="174"/>
      <c r="D9" s="209">
        <v>1966</v>
      </c>
      <c r="E9" s="209"/>
    </row>
    <row r="10" spans="2:8" hidden="1" outlineLevel="1">
      <c r="B10" s="163" t="s">
        <v>2</v>
      </c>
      <c r="C10" s="174"/>
      <c r="D10" s="209">
        <v>4</v>
      </c>
      <c r="E10" s="209"/>
    </row>
    <row r="11" spans="2:8" hidden="1" outlineLevel="1">
      <c r="B11" s="163" t="s">
        <v>3</v>
      </c>
      <c r="C11" s="174"/>
      <c r="D11" s="209">
        <v>48</v>
      </c>
      <c r="E11" s="209"/>
    </row>
    <row r="12" spans="2:8" ht="30.75" hidden="1" customHeight="1" outlineLevel="1">
      <c r="B12" s="165" t="s">
        <v>4</v>
      </c>
      <c r="C12" s="175"/>
      <c r="D12" s="209" t="s">
        <v>52</v>
      </c>
      <c r="E12" s="209"/>
    </row>
    <row r="13" spans="2:8" collapsed="1">
      <c r="B13" s="163" t="s">
        <v>5</v>
      </c>
      <c r="C13" s="174"/>
      <c r="D13" s="209" t="s">
        <v>113</v>
      </c>
      <c r="E13" s="209"/>
      <c r="H13" s="5"/>
    </row>
    <row r="14" spans="2:8" hidden="1" outlineLevel="1">
      <c r="B14" s="1" t="s">
        <v>6</v>
      </c>
      <c r="D14" s="156" t="s">
        <v>7</v>
      </c>
      <c r="E14" s="156"/>
    </row>
    <row r="15" spans="2:8" ht="30.75" hidden="1" customHeight="1" outlineLevel="1">
      <c r="B15" s="15" t="s">
        <v>8</v>
      </c>
      <c r="C15" s="128"/>
      <c r="D15" s="210" t="s">
        <v>53</v>
      </c>
      <c r="E15" s="156"/>
      <c r="H15" s="5"/>
    </row>
    <row r="16" spans="2:8" ht="16.5" collapsed="1" thickBot="1">
      <c r="B16" s="249" t="s">
        <v>172</v>
      </c>
      <c r="C16" s="249"/>
      <c r="D16" s="249"/>
      <c r="E16" s="249"/>
      <c r="F16" s="249"/>
      <c r="G16" s="249"/>
      <c r="H16" s="249"/>
    </row>
    <row r="17" spans="2:14" ht="45.7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</row>
    <row r="18" spans="2:14">
      <c r="B18" s="150" t="s">
        <v>11</v>
      </c>
      <c r="C18" s="275">
        <v>3960239.8699999992</v>
      </c>
      <c r="D18" s="276"/>
      <c r="E18" s="237">
        <v>3140097.0399999996</v>
      </c>
      <c r="F18" s="238"/>
      <c r="G18" s="237">
        <v>820142.82999999984</v>
      </c>
      <c r="H18" s="253"/>
    </row>
    <row r="19" spans="2:14">
      <c r="B19" s="151" t="s">
        <v>12</v>
      </c>
      <c r="C19" s="239">
        <v>3768786.8099999996</v>
      </c>
      <c r="D19" s="277"/>
      <c r="E19" s="239">
        <v>2987453.65</v>
      </c>
      <c r="F19" s="240"/>
      <c r="G19" s="239">
        <v>781333.15999999992</v>
      </c>
      <c r="H19" s="250"/>
    </row>
    <row r="20" spans="2:14" ht="16.5" thickBot="1">
      <c r="B20" s="152" t="s">
        <v>88</v>
      </c>
      <c r="C20" s="278">
        <v>3939632.9808999998</v>
      </c>
      <c r="D20" s="279"/>
      <c r="E20" s="241">
        <v>3152371.9808999998</v>
      </c>
      <c r="F20" s="242"/>
      <c r="G20" s="241">
        <v>787261</v>
      </c>
      <c r="H20" s="251"/>
    </row>
    <row r="21" spans="2:14" ht="28.5" customHeight="1" thickBot="1">
      <c r="B21" s="153" t="s">
        <v>143</v>
      </c>
      <c r="C21" s="243">
        <f>E21+G21</f>
        <v>-170846.17090000003</v>
      </c>
      <c r="D21" s="244"/>
      <c r="E21" s="254">
        <f>E19-E20</f>
        <v>-164918.33089999994</v>
      </c>
      <c r="F21" s="255"/>
      <c r="G21" s="254">
        <f>G19-G20</f>
        <v>-5927.8400000000838</v>
      </c>
      <c r="H21" s="256"/>
    </row>
    <row r="22" spans="2:14">
      <c r="B22" s="15"/>
      <c r="C22" s="128"/>
      <c r="D22" s="210"/>
      <c r="E22" s="156"/>
      <c r="H22" s="5"/>
    </row>
    <row r="23" spans="2:14" ht="33.75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4" ht="33.7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5"/>
      <c r="M24" s="234"/>
      <c r="N24" s="234"/>
    </row>
    <row r="25" spans="2:14" ht="37.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1">
        <v>343868.39</v>
      </c>
      <c r="N25" s="201">
        <f>M25</f>
        <v>343868.39</v>
      </c>
    </row>
    <row r="26" spans="2:14" ht="38.25">
      <c r="B26" s="19" t="s">
        <v>86</v>
      </c>
      <c r="C26" s="20" t="s">
        <v>97</v>
      </c>
      <c r="D26" s="21" t="s">
        <v>98</v>
      </c>
      <c r="E26" s="22">
        <v>1.81</v>
      </c>
      <c r="F26" s="23">
        <f>$M$25/$M$26*E26</f>
        <v>42835.635643496222</v>
      </c>
      <c r="G26" s="24">
        <f>$N$25/$N$26*E26</f>
        <v>42835.635643496222</v>
      </c>
      <c r="H26" s="25">
        <f>F26-G26</f>
        <v>0</v>
      </c>
      <c r="I26" s="26"/>
      <c r="J26" s="208"/>
      <c r="K26" s="208"/>
      <c r="L26" s="27"/>
      <c r="M26" s="203">
        <f>E35-E33</f>
        <v>14.529999999999998</v>
      </c>
      <c r="N26" s="203">
        <f>M26</f>
        <v>14.529999999999998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2.04</v>
      </c>
      <c r="F27" s="23">
        <f t="shared" ref="F27:F30" si="0">$M$25/$M$26*E27</f>
        <v>48278.837962835525</v>
      </c>
      <c r="G27" s="24">
        <f t="shared" ref="G27:G28" si="1">$N$25/$N$26*E27</f>
        <v>48278.837962835525</v>
      </c>
      <c r="H27" s="25">
        <f t="shared" ref="H27:H32" si="2">F27-G27</f>
        <v>0</v>
      </c>
      <c r="I27" s="31"/>
      <c r="J27" s="2"/>
      <c r="K27" s="2"/>
      <c r="L27" s="2"/>
      <c r="M27" s="180"/>
      <c r="N27" s="180"/>
    </row>
    <row r="28" spans="2:14" ht="27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7573.1510529938078</v>
      </c>
      <c r="G28" s="24">
        <f t="shared" si="1"/>
        <v>7573.1510529938078</v>
      </c>
      <c r="H28" s="25">
        <f t="shared" si="2"/>
        <v>0</v>
      </c>
      <c r="I28" s="33"/>
      <c r="L28" s="5"/>
    </row>
    <row r="29" spans="2:14" ht="25.5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13726.336283551274</v>
      </c>
      <c r="G29" s="24">
        <f t="shared" ref="G29:G30" si="3">$N$25/$N$26*E29</f>
        <v>13726.336283551274</v>
      </c>
      <c r="H29" s="25">
        <f t="shared" si="2"/>
        <v>0</v>
      </c>
      <c r="I29" s="33"/>
      <c r="L29" s="5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32659.213916035791</v>
      </c>
      <c r="G30" s="24">
        <f t="shared" si="3"/>
        <v>32659.213916035791</v>
      </c>
      <c r="H30" s="25">
        <f t="shared" si="2"/>
        <v>0</v>
      </c>
      <c r="I30" s="33"/>
    </row>
    <row r="31" spans="2:14" ht="215.25" customHeight="1">
      <c r="B31" s="28" t="s">
        <v>121</v>
      </c>
      <c r="C31" s="20" t="s">
        <v>100</v>
      </c>
      <c r="D31" s="21" t="s">
        <v>98</v>
      </c>
      <c r="E31" s="29">
        <v>6.68</v>
      </c>
      <c r="F31" s="23">
        <f>$M$25/$M$26*E31</f>
        <v>158089.52823124573</v>
      </c>
      <c r="G31" s="24">
        <f>$N$25/$N$26*E31</f>
        <v>158089.52823124573</v>
      </c>
      <c r="H31" s="25">
        <f t="shared" si="2"/>
        <v>0</v>
      </c>
      <c r="I31" s="31"/>
      <c r="J31" s="2"/>
      <c r="K31" s="2"/>
      <c r="L31" s="4"/>
      <c r="M31" s="180"/>
      <c r="N31" s="180"/>
    </row>
    <row r="32" spans="2:14" ht="105.75" customHeight="1">
      <c r="B32" s="28" t="s">
        <v>102</v>
      </c>
      <c r="C32" s="20" t="s">
        <v>97</v>
      </c>
      <c r="D32" s="21" t="s">
        <v>98</v>
      </c>
      <c r="E32" s="29">
        <v>0.35</v>
      </c>
      <c r="F32" s="23">
        <f>$M$25/$M$26*E32</f>
        <v>8283.1339642119765</v>
      </c>
      <c r="G32" s="24">
        <f>$N$25/$N$26*E32</f>
        <v>8283.1339642119765</v>
      </c>
      <c r="H32" s="25">
        <f t="shared" si="2"/>
        <v>0</v>
      </c>
      <c r="I32" s="33"/>
    </row>
    <row r="33" spans="2:14" ht="27.75" customHeight="1">
      <c r="B33" s="32" t="s">
        <v>91</v>
      </c>
      <c r="C33" s="20" t="s">
        <v>97</v>
      </c>
      <c r="D33" s="21" t="s">
        <v>98</v>
      </c>
      <c r="E33" s="29">
        <v>4</v>
      </c>
      <c r="F33" s="23">
        <v>93572.34</v>
      </c>
      <c r="G33" s="30">
        <v>236601</v>
      </c>
      <c r="H33" s="25">
        <f>F33-G33</f>
        <v>-143028.66</v>
      </c>
      <c r="I33" s="33"/>
      <c r="L33" s="5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1.37</v>
      </c>
      <c r="F34" s="23">
        <f>$M$25/$M$26*E34</f>
        <v>32422.552945629741</v>
      </c>
      <c r="G34" s="24">
        <f t="shared" ref="G34" si="4">$N$25/$N$26*E34</f>
        <v>32422.552945629741</v>
      </c>
      <c r="H34" s="25">
        <f>F34-G34</f>
        <v>0</v>
      </c>
      <c r="I34" s="33"/>
    </row>
    <row r="35" spans="2:14" ht="16.5" thickBot="1">
      <c r="B35" s="39" t="s">
        <v>89</v>
      </c>
      <c r="C35" s="40"/>
      <c r="D35" s="40"/>
      <c r="E35" s="41">
        <f>SUM(E26:E34)</f>
        <v>18.529999999999998</v>
      </c>
      <c r="F35" s="42">
        <f>SUM(F26:F34)</f>
        <v>437440.73000000004</v>
      </c>
      <c r="G35" s="43">
        <f>SUM(G26:G34)</f>
        <v>580469.3899999999</v>
      </c>
      <c r="H35" s="44">
        <f>SUM(H26:H34)</f>
        <v>-143028.66</v>
      </c>
      <c r="I35" s="65"/>
      <c r="J35" s="5"/>
    </row>
    <row r="36" spans="2:14">
      <c r="B36" s="5"/>
      <c r="C36" s="5"/>
      <c r="D36" s="5"/>
      <c r="E36" s="14"/>
      <c r="F36" s="14"/>
      <c r="G36" s="14"/>
      <c r="H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52.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57"/>
      <c r="J38" s="158"/>
      <c r="K38" s="46"/>
      <c r="L38" s="47"/>
      <c r="M38" s="181"/>
      <c r="N38" s="181"/>
    </row>
    <row r="39" spans="2:14">
      <c r="B39" s="150" t="s">
        <v>11</v>
      </c>
      <c r="C39" s="275">
        <f>E39+G39</f>
        <v>4397680.5999999996</v>
      </c>
      <c r="D39" s="280"/>
      <c r="E39" s="275">
        <f>F26+F27+F28+F29+F30+F31+F32+F34+E18</f>
        <v>3483965.4299999997</v>
      </c>
      <c r="F39" s="280"/>
      <c r="G39" s="275">
        <f>F33+G18</f>
        <v>913715.16999999981</v>
      </c>
      <c r="H39" s="281"/>
      <c r="I39" s="159"/>
      <c r="J39" s="160"/>
      <c r="K39" s="49"/>
      <c r="L39" s="49"/>
      <c r="M39" s="204"/>
    </row>
    <row r="40" spans="2:14">
      <c r="B40" s="151" t="s">
        <v>12</v>
      </c>
      <c r="C40" s="239">
        <f>E40+G40</f>
        <v>4204570.7799999993</v>
      </c>
      <c r="D40" s="240"/>
      <c r="E40" s="239">
        <f>E19+319452.55</f>
        <v>3306906.1999999997</v>
      </c>
      <c r="F40" s="240"/>
      <c r="G40" s="239">
        <f>G19+116331.42</f>
        <v>897664.58</v>
      </c>
      <c r="H40" s="250"/>
      <c r="I40" s="159"/>
      <c r="J40" s="161"/>
      <c r="K40" s="51"/>
      <c r="L40" s="49"/>
      <c r="M40" s="204"/>
    </row>
    <row r="41" spans="2:14" ht="16.5" thickBot="1">
      <c r="B41" s="152" t="s">
        <v>88</v>
      </c>
      <c r="C41" s="278">
        <f>E41+G41</f>
        <v>4520102.3708999995</v>
      </c>
      <c r="D41" s="284"/>
      <c r="E41" s="278">
        <f>G26+G27+G28+G29+G30+G31+G32+G34+E20</f>
        <v>3496240.3709</v>
      </c>
      <c r="F41" s="284"/>
      <c r="G41" s="278">
        <f>G33+G20</f>
        <v>1023862</v>
      </c>
      <c r="H41" s="283"/>
      <c r="I41" s="159"/>
      <c r="J41" s="48"/>
      <c r="K41" s="33"/>
      <c r="L41" s="33"/>
    </row>
    <row r="42" spans="2:14" ht="31.5" customHeight="1" thickBot="1">
      <c r="B42" s="153" t="s">
        <v>144</v>
      </c>
      <c r="C42" s="243">
        <f>E42+G42</f>
        <v>-315531.5909000003</v>
      </c>
      <c r="D42" s="244"/>
      <c r="E42" s="254">
        <f>E40-E41</f>
        <v>-189334.17090000026</v>
      </c>
      <c r="F42" s="255"/>
      <c r="G42" s="254">
        <f>G40-G41</f>
        <v>-126197.42000000004</v>
      </c>
      <c r="H42" s="256"/>
      <c r="I42" s="162"/>
      <c r="J42" s="147"/>
      <c r="K42" s="33"/>
      <c r="L42" s="33"/>
    </row>
    <row r="43" spans="2:14" ht="15" customHeight="1">
      <c r="B43" s="76"/>
      <c r="C43" s="145"/>
      <c r="D43" s="145"/>
      <c r="E43" s="147"/>
      <c r="F43" s="147"/>
      <c r="G43" s="147"/>
      <c r="H43" s="147"/>
      <c r="I43" s="52"/>
      <c r="J43" s="2"/>
      <c r="K43" s="2"/>
      <c r="L43" s="2"/>
      <c r="M43" s="180"/>
      <c r="N43" s="180"/>
    </row>
    <row r="44" spans="2:14" ht="14.2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52"/>
      <c r="J44" s="2"/>
      <c r="K44" s="2"/>
      <c r="L44" s="2"/>
      <c r="M44" s="180"/>
      <c r="N44" s="180"/>
    </row>
    <row r="45" spans="2:14" ht="8.25" customHeight="1">
      <c r="B45" s="52"/>
      <c r="C45" s="53"/>
      <c r="D45" s="53"/>
      <c r="E45" s="219"/>
      <c r="F45" s="259"/>
      <c r="G45" s="259"/>
      <c r="H45" s="52"/>
      <c r="I45" s="52"/>
      <c r="J45" s="2"/>
      <c r="K45" s="2"/>
      <c r="L45" s="2"/>
      <c r="M45" s="180"/>
      <c r="N45" s="180"/>
    </row>
    <row r="46" spans="2:14" ht="12.7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4" ht="8.25" customHeight="1">
      <c r="B47" s="52"/>
      <c r="C47" s="53"/>
      <c r="D47" s="53"/>
      <c r="E47" s="219"/>
      <c r="F47" s="258"/>
      <c r="G47" s="258"/>
      <c r="H47" s="52"/>
      <c r="I47" s="52"/>
    </row>
    <row r="48" spans="2:14" ht="15.7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6"/>
    </row>
    <row r="49" spans="2:9" ht="9" customHeight="1">
      <c r="B49" s="54"/>
      <c r="C49" s="55"/>
      <c r="D49" s="55"/>
      <c r="E49" s="219"/>
      <c r="F49" s="183"/>
      <c r="G49" s="54"/>
      <c r="H49" s="56"/>
      <c r="I49" s="52"/>
    </row>
    <row r="50" spans="2:9" ht="14.2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</row>
    <row r="51" spans="2:9">
      <c r="B51" s="8"/>
      <c r="C51" s="136"/>
      <c r="D51" s="70"/>
      <c r="E51" s="70"/>
      <c r="F51" s="8"/>
      <c r="G51" s="8"/>
    </row>
    <row r="52" spans="2:9">
      <c r="B52" s="8"/>
      <c r="C52" s="136"/>
      <c r="D52" s="70"/>
      <c r="E52" s="70"/>
      <c r="F52" s="8"/>
      <c r="G52" s="8"/>
    </row>
  </sheetData>
  <mergeCells count="57">
    <mergeCell ref="B1:H1"/>
    <mergeCell ref="B5:H6"/>
    <mergeCell ref="D8:E8"/>
    <mergeCell ref="F44:G44"/>
    <mergeCell ref="E41:F41"/>
    <mergeCell ref="E40:F40"/>
    <mergeCell ref="G40:H40"/>
    <mergeCell ref="G38:H38"/>
    <mergeCell ref="B23:H23"/>
    <mergeCell ref="B24:B25"/>
    <mergeCell ref="C24:C25"/>
    <mergeCell ref="D24:D25"/>
    <mergeCell ref="G42:H42"/>
    <mergeCell ref="E42:F42"/>
    <mergeCell ref="E24:E25"/>
    <mergeCell ref="B2:H2"/>
    <mergeCell ref="B3:H3"/>
    <mergeCell ref="B4:H4"/>
    <mergeCell ref="E39:F39"/>
    <mergeCell ref="E38:F38"/>
    <mergeCell ref="H24:H25"/>
    <mergeCell ref="G39:H39"/>
    <mergeCell ref="B37:H37"/>
    <mergeCell ref="C19:D19"/>
    <mergeCell ref="E19:F19"/>
    <mergeCell ref="G19:H19"/>
    <mergeCell ref="C20:D20"/>
    <mergeCell ref="E20:F20"/>
    <mergeCell ref="G20:H20"/>
    <mergeCell ref="C21:D21"/>
    <mergeCell ref="G21:H21"/>
    <mergeCell ref="E21:F21"/>
    <mergeCell ref="B16:H16"/>
    <mergeCell ref="C17:D17"/>
    <mergeCell ref="E17:F17"/>
    <mergeCell ref="G17:H17"/>
    <mergeCell ref="C18:D18"/>
    <mergeCell ref="E18:F18"/>
    <mergeCell ref="G18:H18"/>
    <mergeCell ref="M23:M24"/>
    <mergeCell ref="N23:N24"/>
    <mergeCell ref="C38:D38"/>
    <mergeCell ref="C39:D39"/>
    <mergeCell ref="C40:D40"/>
    <mergeCell ref="F24:G24"/>
    <mergeCell ref="C50:E50"/>
    <mergeCell ref="F50:G50"/>
    <mergeCell ref="C41:D41"/>
    <mergeCell ref="C42:D42"/>
    <mergeCell ref="C44:E44"/>
    <mergeCell ref="C46:E46"/>
    <mergeCell ref="C48:E48"/>
    <mergeCell ref="F45:G45"/>
    <mergeCell ref="G41:H41"/>
    <mergeCell ref="F46:G46"/>
    <mergeCell ref="F47:G47"/>
    <mergeCell ref="F48:G48"/>
  </mergeCells>
  <printOptions horizontalCentered="1"/>
  <pageMargins left="0.23622047244094491" right="0.19685039370078741" top="0.15748031496062992" bottom="0.23622047244094491" header="0.31496062992125984" footer="0.31496062992125984"/>
  <pageSetup paperSize="9" scale="4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tabColor rgb="FF0070C0"/>
    <pageSetUpPr fitToPage="1"/>
  </sheetPr>
  <dimension ref="B1:N51"/>
  <sheetViews>
    <sheetView topLeftCell="B37" zoomScale="110" zoomScaleNormal="110" workbookViewId="0">
      <selection activeCell="B44" sqref="B44"/>
    </sheetView>
  </sheetViews>
  <sheetFormatPr defaultColWidth="9.140625" defaultRowHeight="15.75" outlineLevelRow="1"/>
  <cols>
    <col min="1" max="1" width="2.85546875" style="1" customWidth="1"/>
    <col min="2" max="2" width="56.140625" style="1" customWidth="1"/>
    <col min="3" max="3" width="14.85546875" style="3" customWidth="1"/>
    <col min="4" max="4" width="8.42578125" style="3" customWidth="1"/>
    <col min="5" max="5" width="9.5703125" style="3" customWidth="1"/>
    <col min="6" max="6" width="10.42578125" style="1" customWidth="1"/>
    <col min="7" max="7" width="10.28515625" style="1" customWidth="1"/>
    <col min="8" max="8" width="10.5703125" style="1" customWidth="1"/>
    <col min="9" max="9" width="15.7109375" style="1" customWidth="1"/>
    <col min="10" max="10" width="16.28515625" style="1" customWidth="1"/>
    <col min="11" max="12" width="9.140625" style="1"/>
    <col min="13" max="13" width="18.140625" style="179" customWidth="1"/>
    <col min="14" max="14" width="21.140625" style="179" customWidth="1"/>
    <col min="15" max="16384" width="9.140625" style="1"/>
  </cols>
  <sheetData>
    <row r="1" spans="2:9">
      <c r="B1" s="262" t="s">
        <v>119</v>
      </c>
      <c r="C1" s="262"/>
      <c r="D1" s="262"/>
      <c r="E1" s="262"/>
      <c r="F1" s="262"/>
      <c r="G1" s="262"/>
      <c r="H1" s="262"/>
    </row>
    <row r="2" spans="2:9">
      <c r="B2" s="262" t="s">
        <v>120</v>
      </c>
      <c r="C2" s="262"/>
      <c r="D2" s="262"/>
      <c r="E2" s="262"/>
      <c r="F2" s="262"/>
      <c r="G2" s="262"/>
      <c r="H2" s="262"/>
    </row>
    <row r="3" spans="2:9">
      <c r="B3" s="262" t="s">
        <v>162</v>
      </c>
      <c r="C3" s="262"/>
      <c r="D3" s="262"/>
      <c r="E3" s="262"/>
      <c r="F3" s="262"/>
      <c r="G3" s="262"/>
      <c r="H3" s="262"/>
    </row>
    <row r="4" spans="2:9">
      <c r="B4" s="262" t="s">
        <v>174</v>
      </c>
      <c r="C4" s="262"/>
      <c r="D4" s="262"/>
      <c r="E4" s="262"/>
      <c r="F4" s="262"/>
      <c r="G4" s="262"/>
      <c r="H4" s="262"/>
    </row>
    <row r="5" spans="2:9" ht="19.5" customHeight="1">
      <c r="B5" s="263" t="s">
        <v>175</v>
      </c>
      <c r="C5" s="263"/>
      <c r="D5" s="263"/>
      <c r="E5" s="263"/>
      <c r="F5" s="263"/>
      <c r="G5" s="263"/>
      <c r="H5" s="263"/>
    </row>
    <row r="6" spans="2:9" ht="20.25" customHeight="1">
      <c r="B6" s="263"/>
      <c r="C6" s="263"/>
      <c r="D6" s="263"/>
      <c r="E6" s="263"/>
      <c r="F6" s="263"/>
      <c r="G6" s="263"/>
      <c r="H6" s="263"/>
    </row>
    <row r="7" spans="2:9" ht="8.25" customHeight="1"/>
    <row r="8" spans="2:9">
      <c r="B8" s="163" t="s">
        <v>0</v>
      </c>
      <c r="C8" s="172"/>
      <c r="D8" s="270" t="s">
        <v>54</v>
      </c>
      <c r="E8" s="270"/>
      <c r="F8" s="163"/>
    </row>
    <row r="9" spans="2:9">
      <c r="B9" s="163" t="s">
        <v>1</v>
      </c>
      <c r="C9" s="172"/>
      <c r="D9" s="209">
        <v>1968</v>
      </c>
      <c r="E9" s="209"/>
      <c r="F9" s="163"/>
    </row>
    <row r="10" spans="2:9" hidden="1" outlineLevel="1">
      <c r="B10" s="163" t="s">
        <v>2</v>
      </c>
      <c r="C10" s="172"/>
      <c r="D10" s="209">
        <v>4</v>
      </c>
      <c r="E10" s="209"/>
      <c r="F10" s="163"/>
    </row>
    <row r="11" spans="2:9" hidden="1" outlineLevel="1">
      <c r="B11" s="163" t="s">
        <v>3</v>
      </c>
      <c r="C11" s="172"/>
      <c r="D11" s="209">
        <v>32</v>
      </c>
      <c r="E11" s="209"/>
      <c r="F11" s="163"/>
    </row>
    <row r="12" spans="2:9" ht="30.75" hidden="1" customHeight="1" outlineLevel="1">
      <c r="B12" s="165" t="s">
        <v>4</v>
      </c>
      <c r="C12" s="173"/>
      <c r="D12" s="209" t="s">
        <v>55</v>
      </c>
      <c r="E12" s="209"/>
      <c r="F12" s="163"/>
    </row>
    <row r="13" spans="2:9" collapsed="1">
      <c r="B13" s="163" t="s">
        <v>5</v>
      </c>
      <c r="C13" s="172"/>
      <c r="D13" s="209" t="s">
        <v>126</v>
      </c>
      <c r="E13" s="209"/>
      <c r="F13" s="163"/>
      <c r="I13" s="5"/>
    </row>
    <row r="14" spans="2:9" hidden="1" outlineLevel="1">
      <c r="B14" s="1" t="s">
        <v>6</v>
      </c>
      <c r="D14" s="156" t="s">
        <v>7</v>
      </c>
      <c r="E14" s="156"/>
    </row>
    <row r="15" spans="2:9" ht="30.75" hidden="1" customHeight="1" outlineLevel="1">
      <c r="B15" s="15" t="s">
        <v>8</v>
      </c>
      <c r="C15" s="73"/>
      <c r="D15" s="210" t="s">
        <v>56</v>
      </c>
      <c r="E15" s="156"/>
      <c r="I15" s="5"/>
    </row>
    <row r="16" spans="2:9" ht="16.5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4" ht="4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4">
      <c r="B18" s="150" t="s">
        <v>11</v>
      </c>
      <c r="C18" s="275">
        <v>3219622.0299999993</v>
      </c>
      <c r="D18" s="276"/>
      <c r="E18" s="237">
        <v>2206884.2146599321</v>
      </c>
      <c r="F18" s="238"/>
      <c r="G18" s="237">
        <v>1012737.8153400673</v>
      </c>
      <c r="H18" s="253"/>
      <c r="I18" s="5"/>
    </row>
    <row r="19" spans="2:14">
      <c r="B19" s="151" t="s">
        <v>12</v>
      </c>
      <c r="C19" s="239">
        <v>3065990.3500000006</v>
      </c>
      <c r="D19" s="277"/>
      <c r="E19" s="239">
        <v>2101500.7600000002</v>
      </c>
      <c r="F19" s="240"/>
      <c r="G19" s="239">
        <v>964489.59000000008</v>
      </c>
      <c r="H19" s="250"/>
      <c r="I19" s="5"/>
    </row>
    <row r="20" spans="2:14" ht="16.5" thickBot="1">
      <c r="B20" s="152" t="s">
        <v>88</v>
      </c>
      <c r="C20" s="278">
        <v>3234201.661692929</v>
      </c>
      <c r="D20" s="279"/>
      <c r="E20" s="241">
        <v>2278717.661692929</v>
      </c>
      <c r="F20" s="242"/>
      <c r="G20" s="241">
        <v>955484</v>
      </c>
      <c r="H20" s="251"/>
      <c r="I20" s="5"/>
    </row>
    <row r="21" spans="2:14" ht="27" customHeight="1" thickBot="1">
      <c r="B21" s="153" t="s">
        <v>143</v>
      </c>
      <c r="C21" s="243">
        <f>E21+G21</f>
        <v>-168211.31169292866</v>
      </c>
      <c r="D21" s="244"/>
      <c r="E21" s="254">
        <f>E19-E20</f>
        <v>-177216.90169292875</v>
      </c>
      <c r="F21" s="255"/>
      <c r="G21" s="254">
        <f>G19-G20</f>
        <v>9005.5900000000838</v>
      </c>
      <c r="H21" s="256"/>
      <c r="I21" s="5"/>
    </row>
    <row r="22" spans="2:14">
      <c r="B22" s="15"/>
      <c r="C22" s="73"/>
      <c r="D22" s="210"/>
      <c r="E22" s="156"/>
      <c r="I22" s="5"/>
    </row>
    <row r="23" spans="2:14" ht="31.5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4" ht="33.7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5"/>
      <c r="M24" s="234"/>
      <c r="N24" s="234"/>
    </row>
    <row r="25" spans="2:14" ht="44.2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1">
        <v>241920.53</v>
      </c>
      <c r="N25" s="201">
        <f>M25</f>
        <v>241920.53</v>
      </c>
    </row>
    <row r="26" spans="2:14" ht="43.5" customHeight="1">
      <c r="B26" s="19" t="s">
        <v>86</v>
      </c>
      <c r="C26" s="20" t="s">
        <v>97</v>
      </c>
      <c r="D26" s="21" t="s">
        <v>98</v>
      </c>
      <c r="E26" s="22">
        <v>1.6</v>
      </c>
      <c r="F26" s="23">
        <f>$M$25/$M$26*E26</f>
        <v>28253.492554744527</v>
      </c>
      <c r="G26" s="24">
        <f>$N$25/$N$26*E26</f>
        <v>28253.492554744527</v>
      </c>
      <c r="H26" s="25">
        <f>F26-G26</f>
        <v>0</v>
      </c>
      <c r="I26" s="26"/>
      <c r="J26" s="208"/>
      <c r="K26" s="208"/>
      <c r="L26" s="27"/>
      <c r="M26" s="203">
        <f>E35-E33</f>
        <v>13.7</v>
      </c>
      <c r="N26" s="203">
        <f>M26</f>
        <v>13.7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1.78</v>
      </c>
      <c r="F27" s="23">
        <f t="shared" ref="F27:F34" si="0">$M$25/$M$26*E27</f>
        <v>31432.010467153286</v>
      </c>
      <c r="G27" s="24">
        <f t="shared" ref="G27:G28" si="1">$N$25/$N$26*E27</f>
        <v>31432.010467153286</v>
      </c>
      <c r="H27" s="25">
        <f t="shared" ref="H27:H32" si="2">F27-G27</f>
        <v>0</v>
      </c>
      <c r="I27" s="31"/>
      <c r="J27" s="2"/>
      <c r="K27" s="2"/>
      <c r="L27" s="2"/>
      <c r="M27" s="180"/>
      <c r="N27" s="180"/>
    </row>
    <row r="28" spans="2:14" ht="36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5650.6985109489051</v>
      </c>
      <c r="G28" s="24">
        <f t="shared" si="1"/>
        <v>5650.6985109489051</v>
      </c>
      <c r="H28" s="25">
        <f t="shared" si="2"/>
        <v>0</v>
      </c>
      <c r="I28" s="33"/>
      <c r="L28" s="5"/>
    </row>
    <row r="29" spans="2:14" ht="25.5">
      <c r="B29" s="32" t="s">
        <v>84</v>
      </c>
      <c r="C29" s="34" t="s">
        <v>99</v>
      </c>
      <c r="D29" s="21" t="s">
        <v>98</v>
      </c>
      <c r="E29" s="29">
        <v>0.45</v>
      </c>
      <c r="F29" s="23">
        <f t="shared" si="0"/>
        <v>7946.2947810218975</v>
      </c>
      <c r="G29" s="24">
        <f t="shared" ref="G29:G31" si="3">$N$25/$N$26*E29</f>
        <v>7946.2947810218975</v>
      </c>
      <c r="H29" s="25">
        <f t="shared" si="2"/>
        <v>0</v>
      </c>
      <c r="I29" s="33"/>
      <c r="L29" s="5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24368.63732846715</v>
      </c>
      <c r="G30" s="24">
        <f t="shared" si="3"/>
        <v>24368.63732846715</v>
      </c>
      <c r="H30" s="25">
        <f t="shared" si="2"/>
        <v>0</v>
      </c>
      <c r="I30" s="33"/>
    </row>
    <row r="31" spans="2:14" ht="219" customHeight="1">
      <c r="B31" s="28" t="s">
        <v>121</v>
      </c>
      <c r="C31" s="20" t="s">
        <v>100</v>
      </c>
      <c r="D31" s="21" t="s">
        <v>98</v>
      </c>
      <c r="E31" s="29">
        <v>6.45</v>
      </c>
      <c r="F31" s="23">
        <f t="shared" si="0"/>
        <v>113896.89186131387</v>
      </c>
      <c r="G31" s="24">
        <f t="shared" si="3"/>
        <v>113896.89186131387</v>
      </c>
      <c r="H31" s="25">
        <f t="shared" si="2"/>
        <v>0</v>
      </c>
      <c r="I31" s="31"/>
      <c r="J31" s="2"/>
      <c r="K31" s="2"/>
      <c r="L31" s="4"/>
      <c r="M31" s="180"/>
      <c r="N31" s="180"/>
    </row>
    <row r="32" spans="2:14" ht="108.7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4944.3611970802922</v>
      </c>
      <c r="G32" s="24">
        <f t="shared" ref="G32" si="4">$N$25/$N$26*E32</f>
        <v>4944.3611970802922</v>
      </c>
      <c r="H32" s="25">
        <f t="shared" si="2"/>
        <v>0</v>
      </c>
      <c r="I32" s="33"/>
    </row>
    <row r="33" spans="2:14" ht="27" customHeight="1">
      <c r="B33" s="32" t="s">
        <v>91</v>
      </c>
      <c r="C33" s="20" t="s">
        <v>97</v>
      </c>
      <c r="D33" s="21" t="s">
        <v>98</v>
      </c>
      <c r="E33" s="29">
        <v>5.8</v>
      </c>
      <c r="F33" s="23">
        <v>102412.28</v>
      </c>
      <c r="G33" s="30">
        <v>162879</v>
      </c>
      <c r="H33" s="25">
        <f>F33-G33</f>
        <v>-60466.720000000001</v>
      </c>
      <c r="I33" s="33"/>
      <c r="L33" s="5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1.44</v>
      </c>
      <c r="F34" s="23">
        <f t="shared" si="0"/>
        <v>25428.143299270072</v>
      </c>
      <c r="G34" s="24">
        <f t="shared" ref="G34" si="5">$N$25/$N$26*E34</f>
        <v>25428.143299270072</v>
      </c>
      <c r="H34" s="25">
        <f>F34-G34</f>
        <v>0</v>
      </c>
      <c r="I34" s="33"/>
    </row>
    <row r="35" spans="2:14" ht="16.5" thickBot="1">
      <c r="B35" s="39" t="s">
        <v>89</v>
      </c>
      <c r="C35" s="40"/>
      <c r="D35" s="40"/>
      <c r="E35" s="41">
        <f>SUM(E26:E34)</f>
        <v>19.5</v>
      </c>
      <c r="F35" s="42">
        <f>SUM(F26:F34)</f>
        <v>344332.81</v>
      </c>
      <c r="G35" s="43">
        <f>SUM(G26:G34)</f>
        <v>404799.53</v>
      </c>
      <c r="H35" s="44">
        <f>SUM(H26:H34)</f>
        <v>-60466.720000000001</v>
      </c>
      <c r="I35" s="65"/>
      <c r="J35" s="5"/>
    </row>
    <row r="36" spans="2:14">
      <c r="B36" s="5"/>
      <c r="C36" s="5"/>
      <c r="D36" s="5"/>
      <c r="E36" s="14"/>
      <c r="F36" s="14"/>
      <c r="G36" s="14"/>
      <c r="H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53.2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69"/>
      <c r="J38" s="158"/>
      <c r="K38" s="46"/>
      <c r="L38" s="47"/>
      <c r="M38" s="181"/>
      <c r="N38" s="181"/>
    </row>
    <row r="39" spans="2:14">
      <c r="B39" s="150" t="s">
        <v>11</v>
      </c>
      <c r="C39" s="237">
        <f>E39+G39</f>
        <v>3563954.8399999989</v>
      </c>
      <c r="D39" s="238"/>
      <c r="E39" s="237">
        <f>F26+F27+F28+F29+F30+F31+F32+F34+E18</f>
        <v>2448804.7446599319</v>
      </c>
      <c r="F39" s="238"/>
      <c r="G39" s="237">
        <f>F33+G18</f>
        <v>1115150.0953400673</v>
      </c>
      <c r="H39" s="253"/>
      <c r="I39" s="159"/>
      <c r="J39" s="160"/>
      <c r="K39" s="49"/>
      <c r="L39" s="49"/>
      <c r="M39" s="204"/>
    </row>
    <row r="40" spans="2:14">
      <c r="B40" s="151" t="s">
        <v>12</v>
      </c>
      <c r="C40" s="239">
        <f>E40+G40</f>
        <v>3418925.1300000004</v>
      </c>
      <c r="D40" s="240"/>
      <c r="E40" s="239">
        <f>E19+247964.17</f>
        <v>2349464.9300000002</v>
      </c>
      <c r="F40" s="240"/>
      <c r="G40" s="239">
        <f>G19+104970.61</f>
        <v>1069460.2000000002</v>
      </c>
      <c r="H40" s="250"/>
      <c r="I40" s="159"/>
      <c r="J40" s="161"/>
      <c r="K40" s="51"/>
      <c r="L40" s="49"/>
      <c r="M40" s="204"/>
    </row>
    <row r="41" spans="2:14" ht="16.5" thickBot="1">
      <c r="B41" s="152" t="s">
        <v>88</v>
      </c>
      <c r="C41" s="241">
        <f>E41+G41</f>
        <v>3639001.1916929288</v>
      </c>
      <c r="D41" s="242"/>
      <c r="E41" s="241">
        <f>G26+G27+G28+G29+G30+G31+G32+G34+E20</f>
        <v>2520638.1916929288</v>
      </c>
      <c r="F41" s="242"/>
      <c r="G41" s="241">
        <f>G33+G20</f>
        <v>1118363</v>
      </c>
      <c r="H41" s="251"/>
      <c r="I41" s="159"/>
      <c r="J41" s="48"/>
      <c r="K41" s="33"/>
      <c r="L41" s="33"/>
    </row>
    <row r="42" spans="2:14" ht="27.75" customHeight="1" thickBot="1">
      <c r="B42" s="153" t="s">
        <v>144</v>
      </c>
      <c r="C42" s="243">
        <f>E42+G42</f>
        <v>-220076.06169292843</v>
      </c>
      <c r="D42" s="244"/>
      <c r="E42" s="254">
        <f>E40-E41</f>
        <v>-171173.26169292862</v>
      </c>
      <c r="F42" s="255"/>
      <c r="G42" s="254">
        <f>G40-G41</f>
        <v>-48902.799999999814</v>
      </c>
      <c r="H42" s="256"/>
      <c r="I42" s="162"/>
      <c r="J42" s="147"/>
      <c r="K42" s="33"/>
      <c r="L42" s="33"/>
    </row>
    <row r="43" spans="2:14" ht="12" customHeight="1">
      <c r="B43" s="76"/>
      <c r="C43" s="145"/>
      <c r="D43" s="145"/>
      <c r="E43" s="147"/>
      <c r="F43" s="147"/>
      <c r="G43" s="147"/>
      <c r="H43" s="147"/>
      <c r="I43" s="170"/>
      <c r="J43" s="31"/>
      <c r="K43" s="2"/>
      <c r="L43" s="2"/>
      <c r="M43" s="180"/>
      <c r="N43" s="180"/>
    </row>
    <row r="44" spans="2:14" ht="15.7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170"/>
      <c r="J44" s="31"/>
      <c r="K44" s="2"/>
      <c r="L44" s="2"/>
      <c r="M44" s="180"/>
      <c r="N44" s="180"/>
    </row>
    <row r="45" spans="2:14" ht="8.25" customHeight="1">
      <c r="B45" s="52"/>
      <c r="C45" s="53"/>
      <c r="D45" s="53"/>
      <c r="E45" s="219"/>
      <c r="F45" s="259"/>
      <c r="G45" s="259"/>
      <c r="H45" s="52"/>
      <c r="I45" s="52"/>
      <c r="J45" s="2"/>
      <c r="K45" s="2"/>
      <c r="L45" s="2"/>
      <c r="M45" s="180"/>
      <c r="N45" s="180"/>
    </row>
    <row r="46" spans="2:14" ht="15.7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4" ht="8.25" customHeight="1">
      <c r="B47" s="52"/>
      <c r="C47" s="53"/>
      <c r="D47" s="53"/>
      <c r="E47" s="219"/>
      <c r="F47" s="258"/>
      <c r="G47" s="258"/>
      <c r="H47" s="52"/>
      <c r="I47" s="52"/>
    </row>
    <row r="48" spans="2:14" ht="18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6"/>
    </row>
    <row r="49" spans="2:9" ht="10.5" customHeight="1">
      <c r="B49" s="54"/>
      <c r="C49" s="55"/>
      <c r="D49" s="55"/>
      <c r="E49" s="219"/>
      <c r="F49" s="183"/>
      <c r="G49" s="54"/>
      <c r="H49" s="56"/>
      <c r="I49" s="52"/>
    </row>
    <row r="50" spans="2:9" ht="14.2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</row>
    <row r="51" spans="2:9">
      <c r="E51" s="211"/>
    </row>
  </sheetData>
  <mergeCells count="57">
    <mergeCell ref="C41:D41"/>
    <mergeCell ref="B1:H1"/>
    <mergeCell ref="B5:H6"/>
    <mergeCell ref="D8:E8"/>
    <mergeCell ref="B23:H23"/>
    <mergeCell ref="B24:B25"/>
    <mergeCell ref="C24:C25"/>
    <mergeCell ref="D24:D25"/>
    <mergeCell ref="E24:E25"/>
    <mergeCell ref="F24:G24"/>
    <mergeCell ref="B2:H2"/>
    <mergeCell ref="B3:H3"/>
    <mergeCell ref="B4:H4"/>
    <mergeCell ref="H24:H25"/>
    <mergeCell ref="B37:H37"/>
    <mergeCell ref="G38:H38"/>
    <mergeCell ref="C38:D38"/>
    <mergeCell ref="C39:D39"/>
    <mergeCell ref="C40:D40"/>
    <mergeCell ref="E39:F39"/>
    <mergeCell ref="E38:F38"/>
    <mergeCell ref="G39:H39"/>
    <mergeCell ref="E40:F40"/>
    <mergeCell ref="E41:F41"/>
    <mergeCell ref="F44:G44"/>
    <mergeCell ref="G40:H40"/>
    <mergeCell ref="G41:H41"/>
    <mergeCell ref="B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M23:M24"/>
    <mergeCell ref="N23:N24"/>
    <mergeCell ref="C50:E50"/>
    <mergeCell ref="F50:G50"/>
    <mergeCell ref="C42:D42"/>
    <mergeCell ref="C44:E44"/>
    <mergeCell ref="C46:E46"/>
    <mergeCell ref="C48:E48"/>
    <mergeCell ref="F48:G48"/>
    <mergeCell ref="F46:G46"/>
    <mergeCell ref="F47:G47"/>
    <mergeCell ref="E42:F42"/>
    <mergeCell ref="F45:G45"/>
    <mergeCell ref="G42:H42"/>
  </mergeCells>
  <printOptions horizontalCentered="1"/>
  <pageMargins left="0.19685039370078741" right="0.19685039370078741" top="0.15748031496062992" bottom="0.24" header="0.16" footer="0.24"/>
  <pageSetup paperSize="9" scale="4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tabColor rgb="FF0070C0"/>
    <pageSetUpPr fitToPage="1"/>
  </sheetPr>
  <dimension ref="A1:R51"/>
  <sheetViews>
    <sheetView topLeftCell="A28" zoomScale="110" zoomScaleNormal="110" workbookViewId="0">
      <selection activeCell="B20" sqref="B20"/>
    </sheetView>
  </sheetViews>
  <sheetFormatPr defaultColWidth="9.140625" defaultRowHeight="15.75" outlineLevelRow="1"/>
  <cols>
    <col min="1" max="1" width="2.85546875" style="1" customWidth="1"/>
    <col min="2" max="2" width="55.85546875" style="1" customWidth="1"/>
    <col min="3" max="3" width="16.7109375" style="14" customWidth="1"/>
    <col min="4" max="4" width="8.85546875" style="3" customWidth="1"/>
    <col min="5" max="5" width="9.5703125" style="3" customWidth="1"/>
    <col min="6" max="6" width="10.140625" style="1" customWidth="1"/>
    <col min="7" max="7" width="10.42578125" style="1" customWidth="1"/>
    <col min="8" max="8" width="11" style="1" customWidth="1"/>
    <col min="9" max="9" width="15.85546875" style="1" customWidth="1"/>
    <col min="10" max="10" width="15.5703125" style="1" customWidth="1"/>
    <col min="11" max="11" width="9.140625" style="78"/>
    <col min="12" max="12" width="11.28515625" style="78" customWidth="1"/>
    <col min="13" max="13" width="17.140625" style="179" customWidth="1"/>
    <col min="14" max="14" width="16.140625" style="179" customWidth="1"/>
    <col min="15" max="18" width="9.140625" style="179"/>
    <col min="19" max="16384" width="9.140625" style="1"/>
  </cols>
  <sheetData>
    <row r="1" spans="1:9">
      <c r="B1" s="262" t="s">
        <v>119</v>
      </c>
      <c r="C1" s="262"/>
      <c r="D1" s="262"/>
      <c r="E1" s="262"/>
      <c r="F1" s="262"/>
      <c r="G1" s="262"/>
      <c r="H1" s="262"/>
    </row>
    <row r="2" spans="1:9">
      <c r="B2" s="262" t="s">
        <v>120</v>
      </c>
      <c r="C2" s="262"/>
      <c r="D2" s="262"/>
      <c r="E2" s="262"/>
      <c r="F2" s="262"/>
      <c r="G2" s="262"/>
      <c r="H2" s="262"/>
    </row>
    <row r="3" spans="1:9">
      <c r="B3" s="262" t="s">
        <v>163</v>
      </c>
      <c r="C3" s="262"/>
      <c r="D3" s="262"/>
      <c r="E3" s="262"/>
      <c r="F3" s="262"/>
      <c r="G3" s="262"/>
      <c r="H3" s="262"/>
    </row>
    <row r="4" spans="1:9" ht="15" customHeight="1">
      <c r="B4" s="262" t="s">
        <v>174</v>
      </c>
      <c r="C4" s="262"/>
      <c r="D4" s="262"/>
      <c r="E4" s="262"/>
      <c r="F4" s="262"/>
      <c r="G4" s="262"/>
      <c r="H4" s="262"/>
    </row>
    <row r="5" spans="1:9" ht="19.5" customHeight="1">
      <c r="A5" s="137"/>
      <c r="B5" s="263" t="s">
        <v>175</v>
      </c>
      <c r="C5" s="263"/>
      <c r="D5" s="263"/>
      <c r="E5" s="263"/>
      <c r="F5" s="263"/>
      <c r="G5" s="263"/>
      <c r="H5" s="263"/>
    </row>
    <row r="6" spans="1:9" ht="20.25" customHeight="1">
      <c r="A6" s="137"/>
      <c r="B6" s="263"/>
      <c r="C6" s="263"/>
      <c r="D6" s="263"/>
      <c r="E6" s="263"/>
      <c r="F6" s="263"/>
      <c r="G6" s="263"/>
      <c r="H6" s="263"/>
    </row>
    <row r="7" spans="1:9" ht="8.25" customHeight="1"/>
    <row r="8" spans="1:9">
      <c r="B8" s="163" t="s">
        <v>0</v>
      </c>
      <c r="C8" s="164"/>
      <c r="D8" s="270" t="s">
        <v>57</v>
      </c>
      <c r="E8" s="270"/>
    </row>
    <row r="9" spans="1:9">
      <c r="B9" s="163" t="s">
        <v>1</v>
      </c>
      <c r="C9" s="164"/>
      <c r="D9" s="209">
        <v>1968</v>
      </c>
      <c r="E9" s="209"/>
    </row>
    <row r="10" spans="1:9" hidden="1" outlineLevel="1">
      <c r="B10" s="163" t="s">
        <v>2</v>
      </c>
      <c r="C10" s="164"/>
      <c r="D10" s="209">
        <v>4</v>
      </c>
      <c r="E10" s="209"/>
    </row>
    <row r="11" spans="1:9" hidden="1" outlineLevel="1">
      <c r="B11" s="163" t="s">
        <v>3</v>
      </c>
      <c r="C11" s="164"/>
      <c r="D11" s="209">
        <v>32</v>
      </c>
      <c r="E11" s="209"/>
    </row>
    <row r="12" spans="1:9" ht="30.75" hidden="1" customHeight="1" outlineLevel="1">
      <c r="B12" s="165" t="s">
        <v>4</v>
      </c>
      <c r="C12" s="166"/>
      <c r="D12" s="209" t="s">
        <v>58</v>
      </c>
      <c r="E12" s="209"/>
    </row>
    <row r="13" spans="1:9" collapsed="1">
      <c r="B13" s="163" t="s">
        <v>5</v>
      </c>
      <c r="C13" s="164"/>
      <c r="D13" s="209" t="s">
        <v>114</v>
      </c>
      <c r="E13" s="209"/>
      <c r="I13" s="5"/>
    </row>
    <row r="14" spans="1:9">
      <c r="B14" s="163" t="s">
        <v>6</v>
      </c>
      <c r="C14" s="164"/>
      <c r="D14" s="209" t="s">
        <v>59</v>
      </c>
      <c r="E14" s="209"/>
    </row>
    <row r="15" spans="1:9" ht="30.75" hidden="1" customHeight="1" outlineLevel="1">
      <c r="B15" s="15" t="s">
        <v>8</v>
      </c>
      <c r="C15" s="16"/>
      <c r="D15" s="210" t="s">
        <v>60</v>
      </c>
      <c r="E15" s="156"/>
      <c r="I15" s="5"/>
    </row>
    <row r="16" spans="1:9" ht="16.5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4" ht="4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4">
      <c r="B18" s="150" t="s">
        <v>11</v>
      </c>
      <c r="C18" s="275">
        <v>2671801.8102124049</v>
      </c>
      <c r="D18" s="276"/>
      <c r="E18" s="237">
        <v>2151968.0272252331</v>
      </c>
      <c r="F18" s="238"/>
      <c r="G18" s="237">
        <v>519833.78298717167</v>
      </c>
      <c r="H18" s="253"/>
      <c r="I18" s="5"/>
    </row>
    <row r="19" spans="2:14">
      <c r="B19" s="151" t="s">
        <v>12</v>
      </c>
      <c r="C19" s="239">
        <v>2407427.517841971</v>
      </c>
      <c r="D19" s="277"/>
      <c r="E19" s="239">
        <v>1936938.7907436204</v>
      </c>
      <c r="F19" s="240"/>
      <c r="G19" s="239">
        <v>470488.72709835065</v>
      </c>
      <c r="H19" s="250"/>
      <c r="I19" s="5"/>
    </row>
    <row r="20" spans="2:14" ht="16.5" thickBot="1">
      <c r="B20" s="152" t="s">
        <v>88</v>
      </c>
      <c r="C20" s="278">
        <v>2859855.5897634695</v>
      </c>
      <c r="D20" s="279"/>
      <c r="E20" s="241">
        <v>2184602.5897634695</v>
      </c>
      <c r="F20" s="242"/>
      <c r="G20" s="241">
        <v>675253</v>
      </c>
      <c r="H20" s="251"/>
      <c r="I20" s="5"/>
    </row>
    <row r="21" spans="2:14" ht="30.75" customHeight="1" thickBot="1">
      <c r="B21" s="153" t="s">
        <v>143</v>
      </c>
      <c r="C21" s="243">
        <f>E21+G21</f>
        <v>-452428.07192149851</v>
      </c>
      <c r="D21" s="244"/>
      <c r="E21" s="254">
        <f>E19-E20</f>
        <v>-247663.79901984916</v>
      </c>
      <c r="F21" s="255"/>
      <c r="G21" s="254">
        <f>G19-G20</f>
        <v>-204764.27290164935</v>
      </c>
      <c r="H21" s="256"/>
      <c r="I21" s="5"/>
    </row>
    <row r="22" spans="2:14">
      <c r="B22" s="15"/>
      <c r="C22" s="16"/>
      <c r="D22" s="210"/>
      <c r="E22" s="156"/>
      <c r="I22" s="5"/>
    </row>
    <row r="23" spans="2:14" ht="33.75" customHeight="1" thickBot="1">
      <c r="B23" s="272" t="s">
        <v>176</v>
      </c>
      <c r="C23" s="272"/>
      <c r="D23" s="272"/>
      <c r="E23" s="272"/>
      <c r="F23" s="272"/>
      <c r="G23" s="272"/>
      <c r="H23" s="272"/>
      <c r="L23" s="84"/>
      <c r="M23" s="233" t="s">
        <v>145</v>
      </c>
      <c r="N23" s="233" t="s">
        <v>146</v>
      </c>
    </row>
    <row r="24" spans="2:14" ht="33.7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84"/>
      <c r="M24" s="234"/>
      <c r="N24" s="234"/>
    </row>
    <row r="25" spans="2:14" ht="37.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3">
        <v>242825.66</v>
      </c>
      <c r="N25" s="203">
        <f>M25</f>
        <v>242825.66</v>
      </c>
    </row>
    <row r="26" spans="2:14" ht="43.5" customHeight="1">
      <c r="B26" s="19" t="s">
        <v>86</v>
      </c>
      <c r="C26" s="20" t="s">
        <v>97</v>
      </c>
      <c r="D26" s="21" t="s">
        <v>98</v>
      </c>
      <c r="E26" s="22">
        <v>1.24</v>
      </c>
      <c r="F26" s="23">
        <f>$M$25/$M$26*E26</f>
        <v>21756.056242774572</v>
      </c>
      <c r="G26" s="24">
        <f>$N$25/$N$26*E26</f>
        <v>21756.056242774572</v>
      </c>
      <c r="H26" s="25">
        <f>F26-G26</f>
        <v>0</v>
      </c>
      <c r="I26" s="26"/>
      <c r="J26" s="208"/>
      <c r="K26" s="92"/>
      <c r="L26" s="93"/>
      <c r="M26" s="203">
        <f>E36-E33</f>
        <v>13.839999999999996</v>
      </c>
      <c r="N26" s="203">
        <f>M26</f>
        <v>13.839999999999996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1.39</v>
      </c>
      <c r="F27" s="23">
        <f t="shared" ref="F27:F35" si="0">$M$25/$M$26*E27</f>
        <v>24387.837239884397</v>
      </c>
      <c r="G27" s="24">
        <f t="shared" ref="G27:G32" si="1">$N$25/$N$26*E27</f>
        <v>24387.837239884397</v>
      </c>
      <c r="H27" s="25">
        <f t="shared" ref="H27:H32" si="2">F27-G27</f>
        <v>0</v>
      </c>
      <c r="I27" s="31"/>
      <c r="J27" s="2"/>
      <c r="K27" s="97"/>
      <c r="L27" s="121"/>
      <c r="M27" s="204"/>
      <c r="N27" s="204"/>
    </row>
    <row r="28" spans="2:14" ht="31.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5614.4661271676314</v>
      </c>
      <c r="G28" s="24">
        <f t="shared" si="1"/>
        <v>5614.4661271676314</v>
      </c>
      <c r="H28" s="25">
        <f t="shared" si="2"/>
        <v>0</v>
      </c>
      <c r="I28" s="33"/>
      <c r="L28" s="121"/>
      <c r="M28" s="205"/>
      <c r="N28" s="205"/>
    </row>
    <row r="29" spans="2:14" ht="25.5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10176.219855491332</v>
      </c>
      <c r="G29" s="24">
        <f t="shared" si="1"/>
        <v>10176.219855491332</v>
      </c>
      <c r="H29" s="25">
        <f t="shared" si="2"/>
        <v>0</v>
      </c>
      <c r="I29" s="33"/>
      <c r="L29" s="191"/>
      <c r="M29" s="204"/>
      <c r="N29" s="204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24212.38517341041</v>
      </c>
      <c r="G30" s="24">
        <f t="shared" si="1"/>
        <v>24212.38517341041</v>
      </c>
      <c r="H30" s="25">
        <f t="shared" si="2"/>
        <v>0</v>
      </c>
      <c r="I30" s="33"/>
    </row>
    <row r="31" spans="2:14" ht="218.2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114745.65147398847</v>
      </c>
      <c r="G31" s="24">
        <f t="shared" si="1"/>
        <v>114745.65147398847</v>
      </c>
      <c r="H31" s="25">
        <f t="shared" si="2"/>
        <v>0</v>
      </c>
      <c r="I31" s="31"/>
      <c r="J31" s="2"/>
      <c r="K31" s="97"/>
      <c r="L31" s="98"/>
      <c r="M31" s="180"/>
      <c r="N31" s="180"/>
    </row>
    <row r="32" spans="2:14" ht="116.2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4912.6578612716785</v>
      </c>
      <c r="G32" s="24">
        <f t="shared" si="1"/>
        <v>4912.6578612716785</v>
      </c>
      <c r="H32" s="25">
        <f t="shared" si="2"/>
        <v>0</v>
      </c>
      <c r="I32" s="33"/>
    </row>
    <row r="33" spans="2:14" ht="31.5" customHeight="1">
      <c r="B33" s="32" t="s">
        <v>91</v>
      </c>
      <c r="C33" s="20" t="s">
        <v>97</v>
      </c>
      <c r="D33" s="21" t="s">
        <v>98</v>
      </c>
      <c r="E33" s="29">
        <v>5.25</v>
      </c>
      <c r="F33" s="23">
        <v>92112.34</v>
      </c>
      <c r="G33" s="30">
        <v>6348</v>
      </c>
      <c r="H33" s="25">
        <f>F33-G33</f>
        <v>85764.34</v>
      </c>
      <c r="I33" s="33"/>
      <c r="L33" s="84"/>
    </row>
    <row r="34" spans="2:14">
      <c r="B34" s="32" t="s">
        <v>92</v>
      </c>
      <c r="C34" s="34" t="s">
        <v>99</v>
      </c>
      <c r="D34" s="21" t="s">
        <v>98</v>
      </c>
      <c r="E34" s="29">
        <v>0.72</v>
      </c>
      <c r="F34" s="23">
        <f t="shared" si="0"/>
        <v>12632.54878612717</v>
      </c>
      <c r="G34" s="24">
        <f t="shared" ref="G34:G35" si="3">$N$25/$N$26*E34</f>
        <v>12632.54878612717</v>
      </c>
      <c r="H34" s="149">
        <f>F34-G34</f>
        <v>0</v>
      </c>
      <c r="I34" s="33"/>
      <c r="J34" s="64"/>
      <c r="K34" s="195"/>
      <c r="L34" s="84"/>
      <c r="M34" s="181"/>
    </row>
    <row r="35" spans="2:14" ht="16.5" thickBot="1">
      <c r="B35" s="62" t="s">
        <v>85</v>
      </c>
      <c r="C35" s="36" t="s">
        <v>100</v>
      </c>
      <c r="D35" s="37" t="s">
        <v>98</v>
      </c>
      <c r="E35" s="38">
        <v>1.39</v>
      </c>
      <c r="F35" s="23">
        <f t="shared" si="0"/>
        <v>24387.837239884397</v>
      </c>
      <c r="G35" s="24">
        <f t="shared" si="3"/>
        <v>24387.837239884397</v>
      </c>
      <c r="H35" s="149">
        <f>F35-G35</f>
        <v>0</v>
      </c>
      <c r="I35" s="33"/>
    </row>
    <row r="36" spans="2:14" ht="16.5" thickBot="1">
      <c r="B36" s="39" t="s">
        <v>89</v>
      </c>
      <c r="C36" s="40"/>
      <c r="D36" s="40"/>
      <c r="E36" s="41">
        <f>SUM(E26:E35)</f>
        <v>19.089999999999996</v>
      </c>
      <c r="F36" s="42">
        <f>SUM(F26:F35)</f>
        <v>334938.00000000006</v>
      </c>
      <c r="G36" s="43">
        <f>SUM(G26:G35)</f>
        <v>249173.66000000006</v>
      </c>
      <c r="H36" s="44">
        <f>SUM(H26:H35)</f>
        <v>85764.34</v>
      </c>
      <c r="I36" s="65">
        <v>19.09</v>
      </c>
      <c r="J36" s="5">
        <f>I36-E36</f>
        <v>0</v>
      </c>
    </row>
    <row r="37" spans="2:14">
      <c r="B37" s="5"/>
      <c r="C37" s="5"/>
      <c r="D37" s="5"/>
      <c r="E37" s="14"/>
      <c r="F37" s="14"/>
      <c r="G37" s="14"/>
      <c r="H37" s="3"/>
    </row>
    <row r="38" spans="2:14" ht="16.5" customHeight="1" thickBot="1">
      <c r="B38" s="249" t="s">
        <v>178</v>
      </c>
      <c r="C38" s="249"/>
      <c r="D38" s="249"/>
      <c r="E38" s="249"/>
      <c r="F38" s="249"/>
      <c r="G38" s="249"/>
      <c r="H38" s="249"/>
      <c r="I38" s="45"/>
      <c r="J38" s="45"/>
    </row>
    <row r="39" spans="2:14" ht="42" customHeight="1" thickBot="1">
      <c r="B39" s="200" t="s">
        <v>179</v>
      </c>
      <c r="C39" s="235" t="s">
        <v>101</v>
      </c>
      <c r="D39" s="236"/>
      <c r="E39" s="245" t="s">
        <v>9</v>
      </c>
      <c r="F39" s="246"/>
      <c r="G39" s="245" t="s">
        <v>10</v>
      </c>
      <c r="H39" s="252"/>
      <c r="I39" s="157"/>
      <c r="J39" s="158"/>
      <c r="K39" s="193"/>
      <c r="L39" s="117"/>
      <c r="M39" s="181"/>
      <c r="N39" s="181"/>
    </row>
    <row r="40" spans="2:14">
      <c r="B40" s="150" t="s">
        <v>11</v>
      </c>
      <c r="C40" s="237">
        <f>E40+G40</f>
        <v>3006739.8102124049</v>
      </c>
      <c r="D40" s="238"/>
      <c r="E40" s="237">
        <f>F27+F28+F29+F30+F31+F34+F32+F35+E18+F26</f>
        <v>2394793.6872252333</v>
      </c>
      <c r="F40" s="238"/>
      <c r="G40" s="237">
        <f>F33+G18</f>
        <v>611946.12298717164</v>
      </c>
      <c r="H40" s="253"/>
      <c r="I40" s="159"/>
      <c r="J40" s="160"/>
      <c r="K40" s="120"/>
      <c r="L40" s="120"/>
      <c r="M40" s="204"/>
    </row>
    <row r="41" spans="2:14">
      <c r="B41" s="151" t="s">
        <v>12</v>
      </c>
      <c r="C41" s="239">
        <f>E41+G41</f>
        <v>2722870.4278419712</v>
      </c>
      <c r="D41" s="240"/>
      <c r="E41" s="239">
        <f>E19+202632.8</f>
        <v>2139571.5907436204</v>
      </c>
      <c r="F41" s="240"/>
      <c r="G41" s="239">
        <f>G19+112810.11</f>
        <v>583298.83709835063</v>
      </c>
      <c r="H41" s="250"/>
      <c r="I41" s="159"/>
      <c r="J41" s="161"/>
      <c r="K41" s="194"/>
      <c r="L41" s="120"/>
      <c r="M41" s="204"/>
    </row>
    <row r="42" spans="2:14" ht="16.5" thickBot="1">
      <c r="B42" s="152" t="s">
        <v>88</v>
      </c>
      <c r="C42" s="241">
        <f>E42+G42</f>
        <v>3109029.2497634697</v>
      </c>
      <c r="D42" s="242"/>
      <c r="E42" s="241">
        <f>G27+G28+G29+G30+G31+G32+G34+G35+E20+G26</f>
        <v>2427428.2497634697</v>
      </c>
      <c r="F42" s="242"/>
      <c r="G42" s="241">
        <f>G33+G20</f>
        <v>681601</v>
      </c>
      <c r="H42" s="251"/>
      <c r="I42" s="159"/>
      <c r="J42" s="48"/>
      <c r="K42" s="100"/>
      <c r="L42" s="100"/>
    </row>
    <row r="43" spans="2:14" ht="27" customHeight="1" thickBot="1">
      <c r="B43" s="153" t="s">
        <v>144</v>
      </c>
      <c r="C43" s="243">
        <f>E43+G43</f>
        <v>-386158.82192149863</v>
      </c>
      <c r="D43" s="244"/>
      <c r="E43" s="254">
        <f>E41-E42</f>
        <v>-287856.65901984926</v>
      </c>
      <c r="F43" s="255"/>
      <c r="G43" s="254">
        <f>G41-G42</f>
        <v>-98302.162901649368</v>
      </c>
      <c r="H43" s="256"/>
      <c r="I43" s="162"/>
      <c r="J43" s="147"/>
      <c r="K43" s="100"/>
      <c r="L43" s="100"/>
    </row>
    <row r="44" spans="2:14" ht="15" customHeight="1">
      <c r="B44" s="76"/>
      <c r="C44" s="145"/>
      <c r="D44" s="145"/>
      <c r="E44" s="147"/>
      <c r="F44" s="147"/>
      <c r="G44" s="147"/>
      <c r="H44" s="147"/>
      <c r="I44" s="52"/>
      <c r="J44" s="2"/>
      <c r="K44" s="97"/>
      <c r="L44" s="97"/>
      <c r="M44" s="180"/>
      <c r="N44" s="180"/>
    </row>
    <row r="45" spans="2:14" ht="16.5" customHeight="1">
      <c r="B45" s="52" t="s">
        <v>77</v>
      </c>
      <c r="C45" s="232" t="s">
        <v>147</v>
      </c>
      <c r="D45" s="232"/>
      <c r="E45" s="232"/>
      <c r="F45" s="258" t="s">
        <v>169</v>
      </c>
      <c r="G45" s="258"/>
      <c r="H45" s="52"/>
      <c r="I45" s="52"/>
      <c r="J45" s="2"/>
      <c r="K45" s="97"/>
      <c r="L45" s="97"/>
      <c r="M45" s="180"/>
      <c r="N45" s="180"/>
    </row>
    <row r="46" spans="2:14" ht="9.75" customHeight="1">
      <c r="B46" s="52"/>
      <c r="C46" s="53"/>
      <c r="D46" s="53"/>
      <c r="E46" s="219"/>
      <c r="F46" s="259"/>
      <c r="G46" s="259"/>
      <c r="H46" s="52"/>
      <c r="I46" s="52"/>
      <c r="J46" s="2"/>
      <c r="K46" s="97"/>
      <c r="L46" s="97"/>
      <c r="M46" s="180"/>
      <c r="N46" s="180"/>
    </row>
    <row r="47" spans="2:14" ht="15" customHeight="1">
      <c r="B47" s="52" t="s">
        <v>78</v>
      </c>
      <c r="C47" s="232" t="s">
        <v>147</v>
      </c>
      <c r="D47" s="232"/>
      <c r="E47" s="232"/>
      <c r="F47" s="258" t="s">
        <v>93</v>
      </c>
      <c r="G47" s="258"/>
      <c r="H47" s="52"/>
      <c r="I47" s="52"/>
    </row>
    <row r="48" spans="2:14" ht="8.25" customHeight="1">
      <c r="B48" s="52"/>
      <c r="C48" s="53"/>
      <c r="D48" s="53"/>
      <c r="E48" s="219"/>
      <c r="F48" s="258"/>
      <c r="G48" s="258"/>
      <c r="H48" s="52"/>
      <c r="I48" s="52"/>
    </row>
    <row r="49" spans="2:9" ht="15.75" customHeight="1">
      <c r="B49" s="52" t="s">
        <v>79</v>
      </c>
      <c r="C49" s="232" t="s">
        <v>148</v>
      </c>
      <c r="D49" s="232"/>
      <c r="E49" s="232"/>
      <c r="F49" s="258" t="s">
        <v>170</v>
      </c>
      <c r="G49" s="258"/>
      <c r="H49" s="52"/>
      <c r="I49" s="54"/>
    </row>
    <row r="50" spans="2:9" ht="9" customHeight="1">
      <c r="B50" s="54"/>
      <c r="C50" s="55"/>
      <c r="D50" s="55"/>
      <c r="E50" s="219"/>
      <c r="F50" s="183"/>
      <c r="G50" s="54"/>
      <c r="H50" s="56"/>
      <c r="I50" s="8"/>
    </row>
    <row r="51" spans="2:9" ht="17.25" customHeight="1">
      <c r="B51" s="52" t="s">
        <v>80</v>
      </c>
      <c r="C51" s="232" t="s">
        <v>148</v>
      </c>
      <c r="D51" s="232"/>
      <c r="E51" s="232"/>
      <c r="F51" s="258" t="s">
        <v>170</v>
      </c>
      <c r="G51" s="258"/>
      <c r="H51" s="52"/>
      <c r="I51" s="8"/>
    </row>
  </sheetData>
  <mergeCells count="57">
    <mergeCell ref="F51:G51"/>
    <mergeCell ref="F45:G45"/>
    <mergeCell ref="F48:G48"/>
    <mergeCell ref="C49:E49"/>
    <mergeCell ref="F49:G49"/>
    <mergeCell ref="C51:E51"/>
    <mergeCell ref="F46:G46"/>
    <mergeCell ref="F47:G47"/>
    <mergeCell ref="B1:H1"/>
    <mergeCell ref="E43:F43"/>
    <mergeCell ref="G39:H39"/>
    <mergeCell ref="D8:E8"/>
    <mergeCell ref="B23:H23"/>
    <mergeCell ref="B24:B25"/>
    <mergeCell ref="C24:C25"/>
    <mergeCell ref="E40:F40"/>
    <mergeCell ref="G43:H43"/>
    <mergeCell ref="F24:G24"/>
    <mergeCell ref="E41:F41"/>
    <mergeCell ref="G41:H41"/>
    <mergeCell ref="B38:H38"/>
    <mergeCell ref="H24:H25"/>
    <mergeCell ref="G40:H40"/>
    <mergeCell ref="D24:D25"/>
    <mergeCell ref="C39:D39"/>
    <mergeCell ref="C40:D40"/>
    <mergeCell ref="G42:H42"/>
    <mergeCell ref="B2:H2"/>
    <mergeCell ref="B3:H3"/>
    <mergeCell ref="B4:H4"/>
    <mergeCell ref="E42:F42"/>
    <mergeCell ref="B5:H6"/>
    <mergeCell ref="E39:F39"/>
    <mergeCell ref="B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M23:M24"/>
    <mergeCell ref="N23:N24"/>
    <mergeCell ref="E24:E25"/>
    <mergeCell ref="C41:D41"/>
    <mergeCell ref="C42:D42"/>
    <mergeCell ref="C43:D43"/>
    <mergeCell ref="C45:E45"/>
    <mergeCell ref="C47:E47"/>
  </mergeCells>
  <printOptions horizontalCentered="1"/>
  <pageMargins left="0.19685039370078741" right="0.19685039370078741" top="0.15748031496062992" bottom="0.23622047244094491" header="0.16" footer="0.25"/>
  <pageSetup paperSize="9" scale="4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tabColor rgb="FF0070C0"/>
    <pageSetUpPr fitToPage="1"/>
  </sheetPr>
  <dimension ref="B1:P92"/>
  <sheetViews>
    <sheetView topLeftCell="A3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6.85546875" style="1" customWidth="1"/>
    <col min="3" max="3" width="14.5703125" style="127" customWidth="1"/>
    <col min="4" max="4" width="10" style="3" customWidth="1"/>
    <col min="5" max="5" width="9.7109375" style="3" customWidth="1"/>
    <col min="6" max="6" width="10.140625" style="1" customWidth="1"/>
    <col min="7" max="7" width="10.28515625" style="1" customWidth="1"/>
    <col min="8" max="8" width="10.7109375" style="1" customWidth="1"/>
    <col min="9" max="9" width="17.5703125" style="1" customWidth="1"/>
    <col min="10" max="10" width="17.28515625" style="1" customWidth="1"/>
    <col min="11" max="11" width="9.140625" style="179"/>
    <col min="12" max="12" width="9.140625" style="78"/>
    <col min="13" max="14" width="18" style="179" customWidth="1"/>
    <col min="15" max="15" width="9.140625" style="78"/>
    <col min="16" max="16" width="9.140625" style="179"/>
    <col min="17" max="16384" width="9.140625" style="1"/>
  </cols>
  <sheetData>
    <row r="1" spans="2:9">
      <c r="B1" s="262" t="s">
        <v>119</v>
      </c>
      <c r="C1" s="262"/>
      <c r="D1" s="262"/>
      <c r="E1" s="262"/>
      <c r="F1" s="262"/>
      <c r="G1" s="262"/>
      <c r="H1" s="262"/>
    </row>
    <row r="2" spans="2:9">
      <c r="B2" s="262" t="s">
        <v>120</v>
      </c>
      <c r="C2" s="262"/>
      <c r="D2" s="262"/>
      <c r="E2" s="262"/>
      <c r="F2" s="262"/>
      <c r="G2" s="262"/>
      <c r="H2" s="262"/>
    </row>
    <row r="3" spans="2:9">
      <c r="B3" s="262" t="s">
        <v>164</v>
      </c>
      <c r="C3" s="262"/>
      <c r="D3" s="262"/>
      <c r="E3" s="262"/>
      <c r="F3" s="262"/>
      <c r="G3" s="262"/>
      <c r="H3" s="262"/>
    </row>
    <row r="4" spans="2:9">
      <c r="B4" s="262" t="s">
        <v>174</v>
      </c>
      <c r="C4" s="262"/>
      <c r="D4" s="262"/>
      <c r="E4" s="262"/>
      <c r="F4" s="262"/>
      <c r="G4" s="262"/>
      <c r="H4" s="262"/>
    </row>
    <row r="5" spans="2:9" ht="19.5" customHeight="1">
      <c r="B5" s="263" t="s">
        <v>175</v>
      </c>
      <c r="C5" s="263"/>
      <c r="D5" s="263"/>
      <c r="E5" s="263"/>
      <c r="F5" s="263"/>
      <c r="G5" s="263"/>
      <c r="H5" s="263"/>
    </row>
    <row r="6" spans="2:9" ht="19.5" customHeight="1">
      <c r="B6" s="263"/>
      <c r="C6" s="263"/>
      <c r="D6" s="263"/>
      <c r="E6" s="263"/>
      <c r="F6" s="263"/>
      <c r="G6" s="263"/>
      <c r="H6" s="263"/>
    </row>
    <row r="7" spans="2:9" ht="8.25" customHeight="1"/>
    <row r="8" spans="2:9">
      <c r="B8" s="163" t="s">
        <v>0</v>
      </c>
      <c r="C8" s="174"/>
      <c r="D8" s="270" t="s">
        <v>61</v>
      </c>
      <c r="E8" s="270"/>
    </row>
    <row r="9" spans="2:9">
      <c r="B9" s="163" t="s">
        <v>1</v>
      </c>
      <c r="C9" s="174"/>
      <c r="D9" s="209">
        <v>1970</v>
      </c>
      <c r="E9" s="209"/>
    </row>
    <row r="10" spans="2:9" hidden="1" outlineLevel="1">
      <c r="B10" s="163" t="s">
        <v>2</v>
      </c>
      <c r="C10" s="174"/>
      <c r="D10" s="209">
        <v>4</v>
      </c>
      <c r="E10" s="209"/>
    </row>
    <row r="11" spans="2:9" hidden="1" outlineLevel="1">
      <c r="B11" s="163" t="s">
        <v>3</v>
      </c>
      <c r="C11" s="174"/>
      <c r="D11" s="209">
        <v>31</v>
      </c>
      <c r="E11" s="209"/>
    </row>
    <row r="12" spans="2:9" ht="30.75" hidden="1" customHeight="1" outlineLevel="1">
      <c r="B12" s="165" t="s">
        <v>4</v>
      </c>
      <c r="C12" s="175"/>
      <c r="D12" s="209" t="s">
        <v>62</v>
      </c>
      <c r="E12" s="209"/>
    </row>
    <row r="13" spans="2:9" collapsed="1">
      <c r="B13" s="163" t="s">
        <v>5</v>
      </c>
      <c r="C13" s="174"/>
      <c r="D13" s="209" t="s">
        <v>127</v>
      </c>
      <c r="E13" s="209"/>
      <c r="I13" s="5"/>
    </row>
    <row r="14" spans="2:9">
      <c r="B14" s="163" t="s">
        <v>6</v>
      </c>
      <c r="C14" s="174"/>
      <c r="D14" s="209" t="s">
        <v>132</v>
      </c>
      <c r="E14" s="209"/>
    </row>
    <row r="15" spans="2:9" ht="30.75" hidden="1" customHeight="1" outlineLevel="1">
      <c r="B15" s="15" t="s">
        <v>8</v>
      </c>
      <c r="C15" s="128"/>
      <c r="D15" s="210" t="s">
        <v>63</v>
      </c>
      <c r="E15" s="156"/>
      <c r="I15" s="5"/>
    </row>
    <row r="16" spans="2:9" ht="16.5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4" ht="43.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4">
      <c r="B18" s="150" t="s">
        <v>11</v>
      </c>
      <c r="C18" s="275">
        <v>3461759.0145152551</v>
      </c>
      <c r="D18" s="276"/>
      <c r="E18" s="237">
        <v>2288591.513037289</v>
      </c>
      <c r="F18" s="238"/>
      <c r="G18" s="237">
        <v>1173167.5014779661</v>
      </c>
      <c r="H18" s="253"/>
      <c r="I18" s="5"/>
    </row>
    <row r="19" spans="2:14">
      <c r="B19" s="151" t="s">
        <v>12</v>
      </c>
      <c r="C19" s="239">
        <v>3166289.5200000005</v>
      </c>
      <c r="D19" s="277"/>
      <c r="E19" s="239">
        <v>2093243.0600000003</v>
      </c>
      <c r="F19" s="240"/>
      <c r="G19" s="239">
        <v>1073046.4600000002</v>
      </c>
      <c r="H19" s="250"/>
      <c r="I19" s="5"/>
    </row>
    <row r="20" spans="2:14" ht="16.5" thickBot="1">
      <c r="B20" s="152" t="s">
        <v>88</v>
      </c>
      <c r="C20" s="278">
        <v>3288572.5975000011</v>
      </c>
      <c r="D20" s="279"/>
      <c r="E20" s="241">
        <v>2303970.7975000008</v>
      </c>
      <c r="F20" s="242"/>
      <c r="G20" s="241">
        <v>984601.8</v>
      </c>
      <c r="H20" s="251"/>
      <c r="I20" s="5"/>
    </row>
    <row r="21" spans="2:14" ht="25.5" customHeight="1" thickBot="1">
      <c r="B21" s="153" t="s">
        <v>143</v>
      </c>
      <c r="C21" s="243">
        <f>E21+G21</f>
        <v>-122283.07750000036</v>
      </c>
      <c r="D21" s="244"/>
      <c r="E21" s="254">
        <f>E19-E20</f>
        <v>-210727.73750000051</v>
      </c>
      <c r="F21" s="255"/>
      <c r="G21" s="254">
        <f>G19-G20</f>
        <v>88444.660000000149</v>
      </c>
      <c r="H21" s="256"/>
      <c r="I21" s="5"/>
    </row>
    <row r="22" spans="2:14">
      <c r="B22" s="154"/>
      <c r="C22" s="155"/>
      <c r="D22" s="155"/>
      <c r="E22" s="146"/>
      <c r="F22" s="146"/>
      <c r="G22" s="146"/>
      <c r="H22" s="146"/>
      <c r="I22" s="5"/>
    </row>
    <row r="23" spans="2:14" ht="33" customHeight="1" thickBot="1">
      <c r="B23" s="272" t="s">
        <v>176</v>
      </c>
      <c r="C23" s="272"/>
      <c r="D23" s="272"/>
      <c r="E23" s="272"/>
      <c r="F23" s="272"/>
      <c r="G23" s="272"/>
      <c r="H23" s="272"/>
      <c r="L23" s="84"/>
      <c r="M23" s="233" t="s">
        <v>145</v>
      </c>
      <c r="N23" s="233" t="s">
        <v>146</v>
      </c>
    </row>
    <row r="24" spans="2:14" ht="33.7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84"/>
      <c r="M24" s="234"/>
      <c r="N24" s="234"/>
    </row>
    <row r="25" spans="2:14" ht="48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3">
        <v>225342.74</v>
      </c>
      <c r="N25" s="203">
        <f>M25</f>
        <v>225342.74</v>
      </c>
    </row>
    <row r="26" spans="2:14" ht="39" customHeight="1">
      <c r="B26" s="19" t="s">
        <v>86</v>
      </c>
      <c r="C26" s="20" t="s">
        <v>97</v>
      </c>
      <c r="D26" s="21" t="s">
        <v>98</v>
      </c>
      <c r="E26" s="22">
        <v>1.24</v>
      </c>
      <c r="F26" s="23">
        <f>$M$25/$M$26*E26</f>
        <v>22607.200453074431</v>
      </c>
      <c r="G26" s="24">
        <f>$N$25/$N$26*E26</f>
        <v>22607.200453074431</v>
      </c>
      <c r="H26" s="25">
        <f>F26-G26</f>
        <v>0</v>
      </c>
      <c r="I26" s="26"/>
      <c r="J26" s="208"/>
      <c r="K26" s="185"/>
      <c r="L26" s="93"/>
      <c r="M26" s="203">
        <f>E35-E33</f>
        <v>12.36</v>
      </c>
      <c r="N26" s="203">
        <f>E35-E33</f>
        <v>12.36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1.39</v>
      </c>
      <c r="F27" s="23">
        <f t="shared" ref="F27:F34" si="0">$M$25/$M$26*E27</f>
        <v>25341.942443365693</v>
      </c>
      <c r="G27" s="24">
        <f t="shared" ref="G27:G32" si="1">$N$25/$N$26*E27</f>
        <v>25341.942443365693</v>
      </c>
      <c r="H27" s="25">
        <f t="shared" ref="H27:H32" si="2">F27-G27</f>
        <v>0</v>
      </c>
      <c r="I27" s="31"/>
      <c r="J27" s="2"/>
      <c r="K27" s="180"/>
      <c r="L27" s="121"/>
      <c r="M27" s="204"/>
      <c r="N27" s="204"/>
    </row>
    <row r="28" spans="2:14" ht="15.7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5834.1162459546922</v>
      </c>
      <c r="G28" s="24">
        <f t="shared" si="1"/>
        <v>5834.1162459546922</v>
      </c>
      <c r="H28" s="25">
        <f t="shared" si="2"/>
        <v>0</v>
      </c>
      <c r="I28" s="33"/>
      <c r="L28" s="121"/>
      <c r="M28" s="205"/>
      <c r="N28" s="205"/>
    </row>
    <row r="29" spans="2:14" ht="30" customHeight="1">
      <c r="B29" s="32" t="s">
        <v>84</v>
      </c>
      <c r="C29" s="34" t="s">
        <v>99</v>
      </c>
      <c r="D29" s="21" t="s">
        <v>98</v>
      </c>
      <c r="E29" s="29">
        <v>0.27</v>
      </c>
      <c r="F29" s="23">
        <f t="shared" si="0"/>
        <v>4922.5355825242714</v>
      </c>
      <c r="G29" s="24">
        <f t="shared" si="1"/>
        <v>4922.5355825242714</v>
      </c>
      <c r="H29" s="25">
        <f t="shared" si="2"/>
        <v>0</v>
      </c>
      <c r="I29" s="33"/>
      <c r="L29" s="191"/>
      <c r="M29" s="204"/>
      <c r="N29" s="204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25159.626310679607</v>
      </c>
      <c r="G30" s="24">
        <f t="shared" si="1"/>
        <v>25159.626310679607</v>
      </c>
      <c r="H30" s="25">
        <f t="shared" si="2"/>
        <v>0</v>
      </c>
      <c r="I30" s="33"/>
    </row>
    <row r="31" spans="2:14" ht="216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119234.75077669902</v>
      </c>
      <c r="G31" s="24">
        <f t="shared" si="1"/>
        <v>119234.75077669902</v>
      </c>
      <c r="H31" s="25">
        <f t="shared" si="2"/>
        <v>0</v>
      </c>
      <c r="I31" s="31"/>
      <c r="J31" s="2"/>
      <c r="K31" s="180"/>
      <c r="L31" s="98"/>
      <c r="M31" s="180"/>
      <c r="N31" s="180"/>
    </row>
    <row r="32" spans="2:14" ht="111.7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5104.8517152103559</v>
      </c>
      <c r="G32" s="24">
        <f t="shared" si="1"/>
        <v>5104.8517152103559</v>
      </c>
      <c r="H32" s="25">
        <f t="shared" si="2"/>
        <v>0</v>
      </c>
      <c r="I32" s="33"/>
    </row>
    <row r="33" spans="2:14" ht="27" customHeight="1">
      <c r="B33" s="32" t="s">
        <v>91</v>
      </c>
      <c r="C33" s="20" t="s">
        <v>97</v>
      </c>
      <c r="D33" s="21" t="s">
        <v>98</v>
      </c>
      <c r="E33" s="29">
        <v>7.3</v>
      </c>
      <c r="F33" s="23">
        <v>133090.78</v>
      </c>
      <c r="G33" s="30">
        <v>3784</v>
      </c>
      <c r="H33" s="25">
        <f>F33-G33</f>
        <v>129306.78</v>
      </c>
      <c r="I33" s="33"/>
      <c r="L33" s="84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0.94</v>
      </c>
      <c r="F34" s="23">
        <f t="shared" si="0"/>
        <v>17137.716472491906</v>
      </c>
      <c r="G34" s="24">
        <f t="shared" ref="G34" si="3">$N$25/$N$26*E34</f>
        <v>17137.716472491906</v>
      </c>
      <c r="H34" s="25">
        <f>F34-G34</f>
        <v>0</v>
      </c>
      <c r="I34" s="33"/>
    </row>
    <row r="35" spans="2:14" ht="16.5" thickBot="1">
      <c r="B35" s="39" t="s">
        <v>89</v>
      </c>
      <c r="C35" s="40"/>
      <c r="D35" s="40"/>
      <c r="E35" s="41">
        <f>SUM(E26:E34)</f>
        <v>19.66</v>
      </c>
      <c r="F35" s="42">
        <f>SUM(F26:F34)</f>
        <v>358433.51999999996</v>
      </c>
      <c r="G35" s="43">
        <f>SUM(G26:G34)</f>
        <v>229126.74</v>
      </c>
      <c r="H35" s="44">
        <f>SUM(H26:H34)</f>
        <v>129306.78</v>
      </c>
      <c r="I35" s="65"/>
      <c r="J35" s="5"/>
    </row>
    <row r="36" spans="2:14">
      <c r="B36" s="5"/>
      <c r="C36" s="5"/>
      <c r="D36" s="5"/>
      <c r="E36" s="14"/>
      <c r="F36" s="14"/>
      <c r="G36" s="14"/>
      <c r="H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44.2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69"/>
      <c r="J38" s="158"/>
      <c r="K38" s="186"/>
      <c r="L38" s="117"/>
      <c r="M38" s="181"/>
      <c r="N38" s="181"/>
    </row>
    <row r="39" spans="2:14">
      <c r="B39" s="150" t="s">
        <v>11</v>
      </c>
      <c r="C39" s="237">
        <f>E39+G39</f>
        <v>3820192.5345152551</v>
      </c>
      <c r="D39" s="238"/>
      <c r="E39" s="237">
        <f>F26+F27+F28+F29+F30+F31+F32+F34+E18</f>
        <v>2513934.2530372888</v>
      </c>
      <c r="F39" s="238"/>
      <c r="G39" s="237">
        <f>F33+G18</f>
        <v>1306258.2814779661</v>
      </c>
      <c r="H39" s="253"/>
      <c r="I39" s="159"/>
      <c r="J39" s="160"/>
      <c r="K39" s="182"/>
      <c r="L39" s="120"/>
      <c r="M39" s="204"/>
    </row>
    <row r="40" spans="2:14">
      <c r="B40" s="151" t="s">
        <v>12</v>
      </c>
      <c r="C40" s="239">
        <f>E40+G40</f>
        <v>3499074.1600000006</v>
      </c>
      <c r="D40" s="240"/>
      <c r="E40" s="239">
        <f>E19+209217.61</f>
        <v>2302460.6700000004</v>
      </c>
      <c r="F40" s="240"/>
      <c r="G40" s="239">
        <f>G19+123567.03</f>
        <v>1196613.4900000002</v>
      </c>
      <c r="H40" s="250"/>
      <c r="I40" s="159"/>
      <c r="J40" s="161"/>
      <c r="K40" s="187"/>
      <c r="L40" s="120"/>
      <c r="M40" s="204"/>
    </row>
    <row r="41" spans="2:14" ht="16.5" thickBot="1">
      <c r="B41" s="152" t="s">
        <v>88</v>
      </c>
      <c r="C41" s="241">
        <f>E41+G41</f>
        <v>3517699.3375000004</v>
      </c>
      <c r="D41" s="242"/>
      <c r="E41" s="241">
        <f>G26+G27+G28+G29+G30+G31+G32+G34+E20</f>
        <v>2529313.5375000006</v>
      </c>
      <c r="F41" s="242"/>
      <c r="G41" s="241">
        <f>G33+G20</f>
        <v>988385.8</v>
      </c>
      <c r="H41" s="251"/>
      <c r="I41" s="159"/>
      <c r="J41" s="48"/>
      <c r="K41" s="188"/>
      <c r="L41" s="100"/>
    </row>
    <row r="42" spans="2:14" ht="28.5" customHeight="1" thickBot="1">
      <c r="B42" s="153" t="s">
        <v>144</v>
      </c>
      <c r="C42" s="243">
        <f>E42+G42</f>
        <v>-18625.177499999991</v>
      </c>
      <c r="D42" s="244"/>
      <c r="E42" s="254">
        <f>E40-E41</f>
        <v>-226852.86750000017</v>
      </c>
      <c r="F42" s="255"/>
      <c r="G42" s="254">
        <f>G40-G41</f>
        <v>208227.69000000018</v>
      </c>
      <c r="H42" s="256"/>
      <c r="I42" s="162"/>
      <c r="J42" s="147"/>
      <c r="K42" s="188"/>
      <c r="L42" s="100"/>
    </row>
    <row r="43" spans="2:14" ht="13.5" customHeight="1">
      <c r="B43" s="76"/>
      <c r="C43" s="145"/>
      <c r="D43" s="145"/>
      <c r="E43" s="147"/>
      <c r="F43" s="147"/>
      <c r="G43" s="147"/>
      <c r="H43" s="147"/>
      <c r="I43" s="170"/>
      <c r="J43" s="31"/>
      <c r="K43" s="180"/>
      <c r="L43" s="97"/>
      <c r="M43" s="180"/>
      <c r="N43" s="180"/>
    </row>
    <row r="44" spans="2:14" ht="15.7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170"/>
      <c r="J44" s="31"/>
      <c r="K44" s="180"/>
      <c r="L44" s="97"/>
      <c r="M44" s="180"/>
      <c r="N44" s="180"/>
    </row>
    <row r="45" spans="2:14" ht="9" customHeight="1">
      <c r="B45" s="52"/>
      <c r="C45" s="53"/>
      <c r="D45" s="53"/>
      <c r="E45" s="219"/>
      <c r="F45" s="259"/>
      <c r="G45" s="259"/>
      <c r="H45" s="52"/>
      <c r="I45" s="52"/>
      <c r="J45" s="2"/>
      <c r="K45" s="180"/>
      <c r="L45" s="97"/>
      <c r="M45" s="180"/>
      <c r="N45" s="180"/>
    </row>
    <row r="46" spans="2:14" ht="14.2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4" ht="9" customHeight="1">
      <c r="B47" s="52"/>
      <c r="C47" s="53"/>
      <c r="D47" s="53"/>
      <c r="E47" s="219"/>
      <c r="F47" s="258"/>
      <c r="G47" s="258"/>
      <c r="H47" s="52"/>
      <c r="I47" s="52"/>
    </row>
    <row r="48" spans="2:14" ht="14.2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6"/>
    </row>
    <row r="49" spans="2:8" ht="10.5" customHeight="1">
      <c r="B49" s="54"/>
      <c r="C49" s="55"/>
      <c r="D49" s="55"/>
      <c r="E49" s="219"/>
      <c r="F49" s="183"/>
      <c r="G49" s="54"/>
      <c r="H49" s="56"/>
    </row>
    <row r="50" spans="2:8" ht="16.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</row>
    <row r="51" spans="2:8">
      <c r="C51" s="14"/>
    </row>
    <row r="52" spans="2:8">
      <c r="C52" s="14"/>
    </row>
    <row r="53" spans="2:8">
      <c r="C53" s="14"/>
    </row>
    <row r="54" spans="2:8">
      <c r="C54" s="14"/>
    </row>
    <row r="55" spans="2:8">
      <c r="C55" s="14"/>
    </row>
    <row r="56" spans="2:8">
      <c r="C56" s="14"/>
    </row>
    <row r="57" spans="2:8">
      <c r="C57" s="14"/>
    </row>
    <row r="58" spans="2:8">
      <c r="C58" s="14"/>
    </row>
    <row r="59" spans="2:8">
      <c r="C59" s="14"/>
    </row>
    <row r="60" spans="2:8">
      <c r="C60" s="14"/>
    </row>
    <row r="61" spans="2:8">
      <c r="C61" s="14"/>
    </row>
    <row r="62" spans="2:8">
      <c r="C62" s="14"/>
    </row>
    <row r="63" spans="2:8">
      <c r="C63" s="14"/>
    </row>
    <row r="64" spans="2:8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  <row r="81" spans="3:3">
      <c r="C81" s="14"/>
    </row>
    <row r="82" spans="3:3">
      <c r="C82" s="14"/>
    </row>
    <row r="83" spans="3:3">
      <c r="C83" s="14"/>
    </row>
    <row r="84" spans="3:3">
      <c r="C84" s="14"/>
    </row>
    <row r="85" spans="3:3">
      <c r="C85" s="14"/>
    </row>
    <row r="86" spans="3:3">
      <c r="C86" s="14"/>
    </row>
    <row r="87" spans="3:3">
      <c r="C87" s="14"/>
    </row>
    <row r="88" spans="3:3">
      <c r="C88" s="14"/>
    </row>
    <row r="89" spans="3:3">
      <c r="C89" s="14"/>
    </row>
    <row r="90" spans="3:3">
      <c r="C90" s="14"/>
    </row>
    <row r="91" spans="3:3">
      <c r="C91" s="14"/>
    </row>
    <row r="92" spans="3:3">
      <c r="C92" s="14"/>
    </row>
  </sheetData>
  <mergeCells count="57">
    <mergeCell ref="B1:H1"/>
    <mergeCell ref="E42:F42"/>
    <mergeCell ref="G42:H42"/>
    <mergeCell ref="G39:H39"/>
    <mergeCell ref="E41:F41"/>
    <mergeCell ref="E39:F39"/>
    <mergeCell ref="E40:F40"/>
    <mergeCell ref="G40:H40"/>
    <mergeCell ref="B2:H2"/>
    <mergeCell ref="B3:H3"/>
    <mergeCell ref="B4:H4"/>
    <mergeCell ref="B37:H37"/>
    <mergeCell ref="G41:H41"/>
    <mergeCell ref="E38:F38"/>
    <mergeCell ref="G38:H38"/>
    <mergeCell ref="B5:H6"/>
    <mergeCell ref="D8:E8"/>
    <mergeCell ref="B23:H23"/>
    <mergeCell ref="B24:B25"/>
    <mergeCell ref="C24:C25"/>
    <mergeCell ref="D24:D25"/>
    <mergeCell ref="E24:E25"/>
    <mergeCell ref="F24:G24"/>
    <mergeCell ref="H24:H25"/>
    <mergeCell ref="B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M23:M24"/>
    <mergeCell ref="N23:N24"/>
    <mergeCell ref="C48:E48"/>
    <mergeCell ref="F48:G48"/>
    <mergeCell ref="C50:E50"/>
    <mergeCell ref="C38:D38"/>
    <mergeCell ref="C39:D39"/>
    <mergeCell ref="C40:D40"/>
    <mergeCell ref="C41:D41"/>
    <mergeCell ref="C42:D42"/>
    <mergeCell ref="F46:G46"/>
    <mergeCell ref="F50:G50"/>
    <mergeCell ref="F44:G44"/>
    <mergeCell ref="F45:G45"/>
    <mergeCell ref="F47:G47"/>
    <mergeCell ref="C44:E44"/>
    <mergeCell ref="C46:E46"/>
  </mergeCells>
  <printOptions horizontalCentered="1"/>
  <pageMargins left="0.19685039370078741" right="0.19685039370078741" top="0.19685039370078741" bottom="0.23622047244094491" header="0.31496062992125984" footer="0.24"/>
  <pageSetup paperSize="9" scale="4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tabColor rgb="FF0070C0"/>
    <pageSetUpPr fitToPage="1"/>
  </sheetPr>
  <dimension ref="A1:O80"/>
  <sheetViews>
    <sheetView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1" customWidth="1"/>
    <col min="2" max="2" width="55.85546875" style="1" customWidth="1"/>
    <col min="3" max="3" width="14.42578125" style="3" customWidth="1"/>
    <col min="4" max="4" width="8.5703125" style="3" customWidth="1"/>
    <col min="5" max="5" width="9.5703125" style="3" customWidth="1"/>
    <col min="6" max="6" width="9.5703125" style="1" customWidth="1"/>
    <col min="7" max="7" width="10.28515625" style="1" customWidth="1"/>
    <col min="8" max="8" width="10.5703125" style="1" customWidth="1"/>
    <col min="9" max="9" width="15.85546875" style="1" customWidth="1"/>
    <col min="10" max="11" width="14" style="1" customWidth="1"/>
    <col min="12" max="13" width="9.140625" style="1"/>
    <col min="14" max="14" width="16.85546875" style="179" customWidth="1"/>
    <col min="15" max="15" width="15.42578125" style="179" customWidth="1"/>
    <col min="16" max="16384" width="9.140625" style="1"/>
  </cols>
  <sheetData>
    <row r="1" spans="1:11">
      <c r="B1" s="262" t="s">
        <v>119</v>
      </c>
      <c r="C1" s="262"/>
      <c r="D1" s="262"/>
      <c r="E1" s="262"/>
      <c r="F1" s="262"/>
      <c r="G1" s="262"/>
      <c r="H1" s="262"/>
      <c r="I1" s="54"/>
      <c r="J1" s="54"/>
      <c r="K1" s="7"/>
    </row>
    <row r="2" spans="1:11">
      <c r="B2" s="262" t="s">
        <v>120</v>
      </c>
      <c r="C2" s="262"/>
      <c r="D2" s="262"/>
      <c r="E2" s="262"/>
      <c r="F2" s="262"/>
      <c r="G2" s="262"/>
      <c r="H2" s="262"/>
      <c r="I2" s="54"/>
      <c r="J2" s="54"/>
      <c r="K2" s="7"/>
    </row>
    <row r="3" spans="1:11">
      <c r="B3" s="262" t="s">
        <v>165</v>
      </c>
      <c r="C3" s="262"/>
      <c r="D3" s="262"/>
      <c r="E3" s="262"/>
      <c r="F3" s="262"/>
      <c r="G3" s="262"/>
      <c r="H3" s="262"/>
      <c r="I3" s="54"/>
      <c r="J3" s="54"/>
      <c r="K3" s="7"/>
    </row>
    <row r="4" spans="1:11">
      <c r="B4" s="262" t="s">
        <v>174</v>
      </c>
      <c r="C4" s="262"/>
      <c r="D4" s="262"/>
      <c r="E4" s="262"/>
      <c r="F4" s="262"/>
      <c r="G4" s="262"/>
      <c r="H4" s="262"/>
      <c r="I4" s="54"/>
      <c r="J4" s="54"/>
      <c r="K4" s="7"/>
    </row>
    <row r="5" spans="1:11" ht="15.75" customHeight="1">
      <c r="A5" s="13"/>
      <c r="B5" s="263" t="s">
        <v>175</v>
      </c>
      <c r="C5" s="263"/>
      <c r="D5" s="263"/>
      <c r="E5" s="263"/>
      <c r="F5" s="263"/>
      <c r="G5" s="263"/>
      <c r="H5" s="263"/>
      <c r="I5" s="13"/>
    </row>
    <row r="6" spans="1:11" ht="24" customHeight="1">
      <c r="A6" s="13"/>
      <c r="B6" s="263"/>
      <c r="C6" s="263"/>
      <c r="D6" s="263"/>
      <c r="E6" s="263"/>
      <c r="F6" s="263"/>
      <c r="G6" s="263"/>
      <c r="H6" s="263"/>
      <c r="I6" s="13"/>
    </row>
    <row r="7" spans="1:11" ht="8.25" customHeight="1"/>
    <row r="8" spans="1:11">
      <c r="B8" s="163" t="s">
        <v>0</v>
      </c>
      <c r="C8" s="172"/>
      <c r="D8" s="270" t="s">
        <v>64</v>
      </c>
      <c r="E8" s="270"/>
    </row>
    <row r="9" spans="1:11">
      <c r="B9" s="163" t="s">
        <v>1</v>
      </c>
      <c r="C9" s="172"/>
      <c r="D9" s="209">
        <v>1969</v>
      </c>
      <c r="E9" s="209"/>
    </row>
    <row r="10" spans="1:11" ht="15.75" hidden="1" customHeight="1" outlineLevel="1">
      <c r="B10" s="163" t="s">
        <v>2</v>
      </c>
      <c r="C10" s="172"/>
      <c r="D10" s="209">
        <v>4</v>
      </c>
      <c r="E10" s="209"/>
    </row>
    <row r="11" spans="1:11" ht="15.75" hidden="1" customHeight="1" outlineLevel="1">
      <c r="B11" s="163" t="s">
        <v>3</v>
      </c>
      <c r="C11" s="172"/>
      <c r="D11" s="209">
        <v>63</v>
      </c>
      <c r="E11" s="209"/>
    </row>
    <row r="12" spans="1:11" ht="30.75" hidden="1" customHeight="1" outlineLevel="1">
      <c r="B12" s="165" t="s">
        <v>4</v>
      </c>
      <c r="C12" s="173"/>
      <c r="D12" s="209" t="s">
        <v>65</v>
      </c>
      <c r="E12" s="209"/>
    </row>
    <row r="13" spans="1:11" collapsed="1">
      <c r="B13" s="163" t="s">
        <v>5</v>
      </c>
      <c r="C13" s="172"/>
      <c r="D13" s="209" t="s">
        <v>128</v>
      </c>
      <c r="E13" s="209"/>
      <c r="I13" s="5"/>
    </row>
    <row r="14" spans="1:11" ht="15.75" hidden="1" customHeight="1" outlineLevel="1">
      <c r="B14" s="1" t="s">
        <v>6</v>
      </c>
      <c r="D14" s="156" t="s">
        <v>66</v>
      </c>
      <c r="E14" s="156"/>
    </row>
    <row r="15" spans="1:11" ht="30.75" hidden="1" customHeight="1" outlineLevel="1">
      <c r="B15" s="15" t="s">
        <v>8</v>
      </c>
      <c r="C15" s="73"/>
      <c r="D15" s="210" t="s">
        <v>67</v>
      </c>
      <c r="E15" s="156"/>
      <c r="I15" s="5"/>
    </row>
    <row r="16" spans="1:11" ht="20.25" customHeight="1" collapsed="1" thickBot="1">
      <c r="B16" s="249" t="s">
        <v>172</v>
      </c>
      <c r="C16" s="249"/>
      <c r="D16" s="249"/>
      <c r="E16" s="249"/>
      <c r="F16" s="249"/>
      <c r="G16" s="249"/>
      <c r="H16" s="249"/>
      <c r="I16" s="144"/>
      <c r="J16" s="144"/>
    </row>
    <row r="17" spans="2:15" ht="45.7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10"/>
      <c r="J17" s="10"/>
    </row>
    <row r="18" spans="2:15">
      <c r="B18" s="150" t="s">
        <v>11</v>
      </c>
      <c r="C18" s="275">
        <v>5919624.8499999996</v>
      </c>
      <c r="D18" s="288"/>
      <c r="E18" s="275">
        <v>3830591.3799999994</v>
      </c>
      <c r="F18" s="288"/>
      <c r="G18" s="275">
        <v>2089033.47</v>
      </c>
      <c r="H18" s="294"/>
      <c r="I18" s="11"/>
      <c r="J18" s="11"/>
    </row>
    <row r="19" spans="2:15">
      <c r="B19" s="151" t="s">
        <v>12</v>
      </c>
      <c r="C19" s="239">
        <v>5740983.25</v>
      </c>
      <c r="D19" s="289"/>
      <c r="E19" s="239">
        <v>3708801.91</v>
      </c>
      <c r="F19" s="289"/>
      <c r="G19" s="239">
        <v>2032181.34</v>
      </c>
      <c r="H19" s="295"/>
      <c r="I19" s="11"/>
      <c r="J19" s="11"/>
    </row>
    <row r="20" spans="2:15" ht="16.5" thickBot="1">
      <c r="B20" s="152" t="s">
        <v>88</v>
      </c>
      <c r="C20" s="278">
        <v>5840744.5643999996</v>
      </c>
      <c r="D20" s="285"/>
      <c r="E20" s="278">
        <v>3889831.5643999996</v>
      </c>
      <c r="F20" s="285"/>
      <c r="G20" s="278">
        <v>1950913</v>
      </c>
      <c r="H20" s="293"/>
      <c r="I20" s="11"/>
      <c r="J20" s="11"/>
    </row>
    <row r="21" spans="2:15" ht="26.25" customHeight="1" thickBot="1">
      <c r="B21" s="153" t="s">
        <v>143</v>
      </c>
      <c r="C21" s="243">
        <f>C19-C20</f>
        <v>-99761.314399999566</v>
      </c>
      <c r="D21" s="286"/>
      <c r="E21" s="254">
        <f>E19-E20</f>
        <v>-181029.65439999942</v>
      </c>
      <c r="F21" s="286"/>
      <c r="G21" s="254">
        <f>G19-G20</f>
        <v>81268.340000000084</v>
      </c>
      <c r="H21" s="296"/>
      <c r="I21" s="145"/>
      <c r="J21" s="145"/>
    </row>
    <row r="22" spans="2:15">
      <c r="B22" s="15"/>
      <c r="C22" s="73"/>
      <c r="D22" s="210"/>
      <c r="E22" s="156"/>
      <c r="I22" s="5"/>
    </row>
    <row r="23" spans="2:15" ht="38.25" customHeight="1" thickBot="1">
      <c r="B23" s="272" t="s">
        <v>176</v>
      </c>
      <c r="C23" s="272"/>
      <c r="D23" s="272"/>
      <c r="E23" s="272"/>
      <c r="F23" s="272"/>
      <c r="G23" s="272"/>
      <c r="H23" s="272"/>
      <c r="M23" s="5"/>
      <c r="N23" s="233" t="s">
        <v>145</v>
      </c>
      <c r="O23" s="233" t="s">
        <v>146</v>
      </c>
    </row>
    <row r="24" spans="2:15" ht="32.2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M24" s="5"/>
      <c r="N24" s="287"/>
      <c r="O24" s="287"/>
    </row>
    <row r="25" spans="2:15" ht="41.2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N25" s="201">
        <v>414871.35</v>
      </c>
      <c r="O25" s="201">
        <f>N25</f>
        <v>414871.35</v>
      </c>
    </row>
    <row r="26" spans="2:15" ht="38.25">
      <c r="B26" s="19" t="s">
        <v>86</v>
      </c>
      <c r="C26" s="20" t="s">
        <v>97</v>
      </c>
      <c r="D26" s="21" t="s">
        <v>98</v>
      </c>
      <c r="E26" s="22">
        <v>1.56</v>
      </c>
      <c r="F26" s="23">
        <f>$N$25/$N$26*E26</f>
        <v>47728.562389380546</v>
      </c>
      <c r="G26" s="24">
        <f>$O$25/$O$26*E26</f>
        <v>47728.562389380546</v>
      </c>
      <c r="H26" s="25">
        <f>F26-G26</f>
        <v>0</v>
      </c>
      <c r="I26" s="26"/>
      <c r="J26" s="208"/>
      <c r="K26" s="208"/>
      <c r="L26" s="208"/>
      <c r="M26" s="27"/>
      <c r="N26" s="203">
        <f>E35-E33</f>
        <v>13.559999999999995</v>
      </c>
      <c r="O26" s="203">
        <f>N26</f>
        <v>13.559999999999995</v>
      </c>
    </row>
    <row r="27" spans="2:15" ht="51">
      <c r="B27" s="28" t="s">
        <v>90</v>
      </c>
      <c r="C27" s="20" t="s">
        <v>97</v>
      </c>
      <c r="D27" s="21" t="s">
        <v>98</v>
      </c>
      <c r="E27" s="29">
        <v>1.78</v>
      </c>
      <c r="F27" s="23">
        <f t="shared" ref="F27:F34" si="0">$N$25/$N$26*E27</f>
        <v>54459.513495575236</v>
      </c>
      <c r="G27" s="24">
        <f t="shared" ref="G27:G31" si="1">$O$25/$O$26*E27</f>
        <v>54459.513495575236</v>
      </c>
      <c r="H27" s="25">
        <f t="shared" ref="H27:H32" si="2">F27-G27</f>
        <v>0</v>
      </c>
      <c r="I27" s="31"/>
      <c r="J27" s="2"/>
      <c r="K27" s="2"/>
      <c r="L27" s="2"/>
      <c r="M27" s="2"/>
      <c r="N27" s="180"/>
      <c r="O27" s="180"/>
    </row>
    <row r="28" spans="2:15" ht="36.7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9790.4743362831887</v>
      </c>
      <c r="G28" s="24">
        <f t="shared" si="1"/>
        <v>9790.4743362831887</v>
      </c>
      <c r="H28" s="25">
        <f t="shared" si="2"/>
        <v>0</v>
      </c>
      <c r="I28" s="33"/>
      <c r="M28" s="5"/>
    </row>
    <row r="29" spans="2:15" ht="25.5">
      <c r="B29" s="32" t="s">
        <v>84</v>
      </c>
      <c r="C29" s="34" t="s">
        <v>99</v>
      </c>
      <c r="D29" s="21" t="s">
        <v>98</v>
      </c>
      <c r="E29" s="29">
        <v>0.21</v>
      </c>
      <c r="F29" s="23">
        <f t="shared" si="0"/>
        <v>6424.9987831858425</v>
      </c>
      <c r="G29" s="24">
        <f t="shared" si="1"/>
        <v>6424.9987831858425</v>
      </c>
      <c r="H29" s="25">
        <f t="shared" si="2"/>
        <v>0</v>
      </c>
      <c r="I29" s="33"/>
      <c r="M29" s="5"/>
    </row>
    <row r="30" spans="2:15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42221.420575221244</v>
      </c>
      <c r="G30" s="24">
        <f t="shared" si="1"/>
        <v>42221.420575221244</v>
      </c>
      <c r="H30" s="25">
        <f t="shared" si="2"/>
        <v>0</v>
      </c>
      <c r="I30" s="33"/>
    </row>
    <row r="31" spans="2:15" ht="216.7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200092.81924778767</v>
      </c>
      <c r="G31" s="24">
        <f t="shared" si="1"/>
        <v>200092.81924778767</v>
      </c>
      <c r="H31" s="25">
        <f t="shared" si="2"/>
        <v>0</v>
      </c>
      <c r="I31" s="31"/>
      <c r="J31" s="2"/>
      <c r="K31" s="2"/>
      <c r="L31" s="2"/>
      <c r="M31" s="4"/>
      <c r="N31" s="180"/>
      <c r="O31" s="180"/>
    </row>
    <row r="32" spans="2:15" ht="105.7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8566.6650442477912</v>
      </c>
      <c r="G32" s="24">
        <f t="shared" ref="G32" si="3">$O$25/$O$26*E32</f>
        <v>8566.6650442477912</v>
      </c>
      <c r="H32" s="25">
        <f t="shared" si="2"/>
        <v>0</v>
      </c>
      <c r="I32" s="33"/>
    </row>
    <row r="33" spans="2:15" ht="26.25" customHeight="1">
      <c r="B33" s="32" t="s">
        <v>91</v>
      </c>
      <c r="C33" s="20" t="s">
        <v>97</v>
      </c>
      <c r="D33" s="21" t="s">
        <v>98</v>
      </c>
      <c r="E33" s="29">
        <v>6.55</v>
      </c>
      <c r="F33" s="23">
        <v>200398.77</v>
      </c>
      <c r="G33" s="30">
        <v>166516</v>
      </c>
      <c r="H33" s="25">
        <f>F33-G33</f>
        <v>33882.76999999999</v>
      </c>
      <c r="I33" s="33"/>
      <c r="M33" s="5"/>
    </row>
    <row r="34" spans="2:15" ht="16.5" thickBot="1">
      <c r="B34" s="62" t="s">
        <v>85</v>
      </c>
      <c r="C34" s="36" t="s">
        <v>100</v>
      </c>
      <c r="D34" s="37" t="s">
        <v>98</v>
      </c>
      <c r="E34" s="38">
        <v>1.49</v>
      </c>
      <c r="F34" s="23">
        <f t="shared" si="0"/>
        <v>45586.896128318593</v>
      </c>
      <c r="G34" s="24">
        <f t="shared" ref="G34" si="4">$O$25/$O$26*E34</f>
        <v>45586.896128318593</v>
      </c>
      <c r="H34" s="25">
        <f>F34-G34</f>
        <v>0</v>
      </c>
      <c r="I34" s="33"/>
    </row>
    <row r="35" spans="2:15" ht="16.5" thickBot="1">
      <c r="B35" s="39" t="s">
        <v>89</v>
      </c>
      <c r="C35" s="40"/>
      <c r="D35" s="40"/>
      <c r="E35" s="41">
        <f>SUM(E26:E34)</f>
        <v>20.109999999999996</v>
      </c>
      <c r="F35" s="42">
        <f>SUM(F26:F34)</f>
        <v>615270.12000000011</v>
      </c>
      <c r="G35" s="43">
        <f>SUM(G26:G34)</f>
        <v>581387.35000000021</v>
      </c>
      <c r="H35" s="44">
        <f>SUM(H26:H34)</f>
        <v>33882.76999999999</v>
      </c>
      <c r="I35" s="65"/>
      <c r="J35" s="5"/>
    </row>
    <row r="36" spans="2:15">
      <c r="B36" s="5"/>
      <c r="C36" s="5"/>
      <c r="D36" s="5"/>
      <c r="E36" s="14"/>
      <c r="F36" s="14"/>
      <c r="G36" s="14"/>
      <c r="H36" s="3"/>
    </row>
    <row r="37" spans="2:15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144"/>
      <c r="J37" s="144"/>
      <c r="K37" s="9"/>
    </row>
    <row r="38" spans="2:15" ht="41.2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0"/>
      <c r="J38" s="10"/>
      <c r="K38" s="10"/>
      <c r="L38" s="46"/>
      <c r="M38" s="47"/>
      <c r="N38" s="181"/>
      <c r="O38" s="181"/>
    </row>
    <row r="39" spans="2:15">
      <c r="B39" s="150" t="s">
        <v>11</v>
      </c>
      <c r="C39" s="275">
        <f>E39+G39+I39+J39</f>
        <v>6534894.9699999988</v>
      </c>
      <c r="D39" s="288"/>
      <c r="E39" s="275">
        <f>F26+F27+F28+F29+F30+F31+F32+F34+E18</f>
        <v>4245462.7299999995</v>
      </c>
      <c r="F39" s="288"/>
      <c r="G39" s="275">
        <f>F33+G18</f>
        <v>2289432.2399999998</v>
      </c>
      <c r="H39" s="294"/>
      <c r="I39" s="11"/>
      <c r="J39" s="11"/>
      <c r="K39" s="11"/>
      <c r="L39" s="49"/>
      <c r="M39" s="49"/>
      <c r="N39" s="204"/>
    </row>
    <row r="40" spans="2:15">
      <c r="B40" s="151" t="s">
        <v>12</v>
      </c>
      <c r="C40" s="239">
        <f>E40+G40+I40+J40</f>
        <v>6378876.71</v>
      </c>
      <c r="D40" s="289"/>
      <c r="E40" s="239">
        <f>E19+430126.07</f>
        <v>4138927.98</v>
      </c>
      <c r="F40" s="289"/>
      <c r="G40" s="239">
        <f>G19+207767.39</f>
        <v>2239948.73</v>
      </c>
      <c r="H40" s="295"/>
      <c r="I40" s="11"/>
      <c r="J40" s="11"/>
      <c r="K40" s="11"/>
      <c r="L40" s="51"/>
      <c r="M40" s="49"/>
      <c r="N40" s="204"/>
    </row>
    <row r="41" spans="2:15" ht="16.5" thickBot="1">
      <c r="B41" s="152" t="s">
        <v>88</v>
      </c>
      <c r="C41" s="278">
        <f>E41+G41+I41+J41</f>
        <v>6422131.9144000001</v>
      </c>
      <c r="D41" s="285"/>
      <c r="E41" s="278">
        <f>G26+G27+G28+G29+G30+G31+G32+G34+E20</f>
        <v>4304702.9144000001</v>
      </c>
      <c r="F41" s="285"/>
      <c r="G41" s="278">
        <f>G33+G20</f>
        <v>2117429</v>
      </c>
      <c r="H41" s="293"/>
      <c r="I41" s="11"/>
      <c r="J41" s="11"/>
      <c r="K41" s="11"/>
      <c r="L41" s="33"/>
      <c r="M41" s="33"/>
    </row>
    <row r="42" spans="2:15" ht="29.25" customHeight="1" thickBot="1">
      <c r="B42" s="153" t="s">
        <v>144</v>
      </c>
      <c r="C42" s="243">
        <f>C40-C41</f>
        <v>-43255.204400000162</v>
      </c>
      <c r="D42" s="286"/>
      <c r="E42" s="254">
        <f>E40-E41</f>
        <v>-165774.93440000014</v>
      </c>
      <c r="F42" s="286"/>
      <c r="G42" s="254">
        <f>G40-G41</f>
        <v>122519.72999999998</v>
      </c>
      <c r="H42" s="296"/>
      <c r="I42" s="145"/>
      <c r="J42" s="145"/>
      <c r="K42" s="12"/>
      <c r="L42" s="33"/>
      <c r="M42" s="33"/>
    </row>
    <row r="43" spans="2:15" ht="32.25" customHeight="1">
      <c r="B43" s="52" t="s">
        <v>77</v>
      </c>
      <c r="C43" s="302" t="s">
        <v>147</v>
      </c>
      <c r="D43" s="302"/>
      <c r="E43" s="302"/>
      <c r="F43" s="304" t="s">
        <v>169</v>
      </c>
      <c r="G43" s="304"/>
      <c r="H43" s="138"/>
      <c r="I43" s="170"/>
      <c r="J43" s="2"/>
      <c r="K43" s="2"/>
      <c r="L43" s="2"/>
      <c r="M43" s="2"/>
      <c r="N43" s="180"/>
      <c r="O43" s="180"/>
    </row>
    <row r="44" spans="2:15" ht="8.25" customHeight="1">
      <c r="B44" s="52"/>
      <c r="C44" s="53"/>
      <c r="D44" s="53"/>
      <c r="E44" s="219"/>
      <c r="F44" s="259"/>
      <c r="G44" s="259"/>
      <c r="H44" s="52"/>
      <c r="I44" s="52"/>
      <c r="J44" s="2"/>
      <c r="K44" s="2"/>
      <c r="L44" s="2"/>
      <c r="M44" s="2"/>
      <c r="N44" s="180"/>
      <c r="O44" s="180"/>
    </row>
    <row r="45" spans="2:15">
      <c r="B45" s="52" t="s">
        <v>78</v>
      </c>
      <c r="C45" s="232" t="s">
        <v>147</v>
      </c>
      <c r="D45" s="232"/>
      <c r="E45" s="232"/>
      <c r="F45" s="258" t="s">
        <v>93</v>
      </c>
      <c r="G45" s="258"/>
      <c r="H45" s="52"/>
      <c r="I45" s="52"/>
      <c r="J45" s="2"/>
      <c r="K45" s="2"/>
      <c r="L45" s="2"/>
      <c r="M45" s="2"/>
      <c r="N45" s="180"/>
      <c r="O45" s="180"/>
    </row>
    <row r="46" spans="2:15" ht="8.25" customHeight="1">
      <c r="B46" s="52"/>
      <c r="C46" s="53"/>
      <c r="D46" s="53"/>
      <c r="E46" s="219"/>
      <c r="F46" s="258"/>
      <c r="G46" s="258"/>
      <c r="H46" s="52"/>
      <c r="I46" s="52"/>
    </row>
    <row r="47" spans="2:15">
      <c r="B47" s="52" t="s">
        <v>79</v>
      </c>
      <c r="C47" s="232" t="s">
        <v>148</v>
      </c>
      <c r="D47" s="232"/>
      <c r="E47" s="232"/>
      <c r="F47" s="258" t="s">
        <v>170</v>
      </c>
      <c r="G47" s="258"/>
      <c r="H47" s="52"/>
      <c r="I47" s="52"/>
    </row>
    <row r="48" spans="2:15" ht="8.25" customHeight="1">
      <c r="B48" s="54"/>
      <c r="C48" s="55"/>
      <c r="D48" s="55"/>
      <c r="E48" s="219"/>
      <c r="F48" s="183"/>
      <c r="G48" s="54"/>
      <c r="H48" s="56"/>
      <c r="I48" s="6"/>
    </row>
    <row r="49" spans="2:7">
      <c r="B49" s="52" t="s">
        <v>80</v>
      </c>
      <c r="C49" s="232" t="s">
        <v>148</v>
      </c>
      <c r="D49" s="232"/>
      <c r="E49" s="232"/>
      <c r="F49" s="258" t="s">
        <v>170</v>
      </c>
      <c r="G49" s="258"/>
    </row>
    <row r="50" spans="2:7" ht="9" customHeight="1">
      <c r="B50" s="8"/>
      <c r="C50" s="8"/>
      <c r="D50" s="8"/>
      <c r="E50" s="219"/>
      <c r="F50" s="303"/>
      <c r="G50" s="303"/>
    </row>
    <row r="51" spans="2:7">
      <c r="C51" s="14"/>
      <c r="E51" s="211"/>
    </row>
    <row r="52" spans="2:7">
      <c r="C52" s="14"/>
    </row>
    <row r="53" spans="2:7">
      <c r="C53" s="14"/>
    </row>
    <row r="54" spans="2:7">
      <c r="C54" s="14"/>
    </row>
    <row r="55" spans="2:7">
      <c r="C55" s="14"/>
    </row>
    <row r="56" spans="2:7">
      <c r="C56" s="14"/>
    </row>
    <row r="57" spans="2:7">
      <c r="C57" s="14"/>
    </row>
    <row r="58" spans="2:7">
      <c r="C58" s="14"/>
    </row>
    <row r="59" spans="2:7">
      <c r="C59" s="14"/>
    </row>
    <row r="60" spans="2:7">
      <c r="C60" s="14"/>
    </row>
    <row r="61" spans="2:7">
      <c r="C61" s="14"/>
    </row>
    <row r="62" spans="2:7">
      <c r="C62" s="14"/>
    </row>
    <row r="63" spans="2:7">
      <c r="C63" s="14"/>
    </row>
    <row r="64" spans="2:7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</sheetData>
  <mergeCells count="58">
    <mergeCell ref="B1:H1"/>
    <mergeCell ref="B2:H2"/>
    <mergeCell ref="B3:H3"/>
    <mergeCell ref="B4:H4"/>
    <mergeCell ref="E42:F42"/>
    <mergeCell ref="H24:H25"/>
    <mergeCell ref="D8:E8"/>
    <mergeCell ref="G39:H39"/>
    <mergeCell ref="G40:H40"/>
    <mergeCell ref="B5:H6"/>
    <mergeCell ref="E38:F38"/>
    <mergeCell ref="G19:H19"/>
    <mergeCell ref="C20:D20"/>
    <mergeCell ref="E20:F20"/>
    <mergeCell ref="G20:H20"/>
    <mergeCell ref="C21:D21"/>
    <mergeCell ref="F50:G50"/>
    <mergeCell ref="G38:H38"/>
    <mergeCell ref="B23:H23"/>
    <mergeCell ref="B24:B25"/>
    <mergeCell ref="C24:C25"/>
    <mergeCell ref="D24:D25"/>
    <mergeCell ref="E24:E25"/>
    <mergeCell ref="F24:G24"/>
    <mergeCell ref="F49:G49"/>
    <mergeCell ref="F43:G43"/>
    <mergeCell ref="E41:F41"/>
    <mergeCell ref="E39:F39"/>
    <mergeCell ref="F46:G46"/>
    <mergeCell ref="E40:F40"/>
    <mergeCell ref="F44:G44"/>
    <mergeCell ref="C47:E47"/>
    <mergeCell ref="O23:O24"/>
    <mergeCell ref="C43:E43"/>
    <mergeCell ref="C45:E45"/>
    <mergeCell ref="N23:N24"/>
    <mergeCell ref="C17:D17"/>
    <mergeCell ref="E17:F17"/>
    <mergeCell ref="G17:H17"/>
    <mergeCell ref="C18:D18"/>
    <mergeCell ref="E18:F18"/>
    <mergeCell ref="G18:H18"/>
    <mergeCell ref="E21:F21"/>
    <mergeCell ref="G21:H21"/>
    <mergeCell ref="C38:D38"/>
    <mergeCell ref="C19:D19"/>
    <mergeCell ref="E19:F19"/>
    <mergeCell ref="C39:D39"/>
    <mergeCell ref="C40:D40"/>
    <mergeCell ref="C41:D41"/>
    <mergeCell ref="C42:D42"/>
    <mergeCell ref="B16:H16"/>
    <mergeCell ref="B37:H37"/>
    <mergeCell ref="F47:G47"/>
    <mergeCell ref="F45:G45"/>
    <mergeCell ref="G41:H41"/>
    <mergeCell ref="G42:H42"/>
    <mergeCell ref="C49:E49"/>
  </mergeCells>
  <printOptions horizontalCentered="1"/>
  <pageMargins left="0.19685039370078741" right="0.19685039370078741" top="0.15748031496062992" bottom="0.23622047244094491" header="0.16" footer="0.24"/>
  <pageSetup paperSize="9" scale="4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tabColor rgb="FF0070C0"/>
    <pageSetUpPr fitToPage="1"/>
  </sheetPr>
  <dimension ref="B1:R72"/>
  <sheetViews>
    <sheetView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5.7109375" style="1" customWidth="1"/>
    <col min="3" max="3" width="14.5703125" style="3" customWidth="1"/>
    <col min="4" max="4" width="9.28515625" style="3" customWidth="1"/>
    <col min="5" max="5" width="9.42578125" style="3" customWidth="1"/>
    <col min="6" max="6" width="10.42578125" style="1" customWidth="1"/>
    <col min="7" max="7" width="10.28515625" style="1" customWidth="1"/>
    <col min="8" max="8" width="11" style="1" customWidth="1"/>
    <col min="9" max="9" width="16.7109375" style="1" customWidth="1"/>
    <col min="10" max="10" width="16.140625" style="1" customWidth="1"/>
    <col min="11" max="11" width="9.140625" style="1"/>
    <col min="12" max="12" width="9.140625" style="78"/>
    <col min="13" max="13" width="14.140625" style="179" customWidth="1"/>
    <col min="14" max="14" width="14.85546875" style="179" customWidth="1"/>
    <col min="15" max="18" width="9.140625" style="78"/>
    <col min="19" max="16384" width="9.140625" style="1"/>
  </cols>
  <sheetData>
    <row r="1" spans="2:10">
      <c r="B1" s="262" t="s">
        <v>119</v>
      </c>
      <c r="C1" s="262"/>
      <c r="D1" s="262"/>
      <c r="E1" s="262"/>
      <c r="F1" s="262"/>
      <c r="G1" s="262"/>
      <c r="H1" s="262"/>
    </row>
    <row r="2" spans="2:10">
      <c r="B2" s="262" t="s">
        <v>120</v>
      </c>
      <c r="C2" s="262"/>
      <c r="D2" s="262"/>
      <c r="E2" s="262"/>
      <c r="F2" s="262"/>
      <c r="G2" s="262"/>
      <c r="H2" s="262"/>
    </row>
    <row r="3" spans="2:10">
      <c r="B3" s="262" t="s">
        <v>166</v>
      </c>
      <c r="C3" s="262"/>
      <c r="D3" s="262"/>
      <c r="E3" s="262"/>
      <c r="F3" s="262"/>
      <c r="G3" s="262"/>
      <c r="H3" s="262"/>
    </row>
    <row r="4" spans="2:10">
      <c r="B4" s="262" t="s">
        <v>174</v>
      </c>
      <c r="C4" s="262"/>
      <c r="D4" s="262"/>
      <c r="E4" s="262"/>
      <c r="F4" s="262"/>
      <c r="G4" s="262"/>
      <c r="H4" s="262"/>
    </row>
    <row r="5" spans="2:10" ht="19.5" customHeight="1">
      <c r="B5" s="263" t="s">
        <v>175</v>
      </c>
      <c r="C5" s="263"/>
      <c r="D5" s="263"/>
      <c r="E5" s="263"/>
      <c r="F5" s="263"/>
      <c r="G5" s="263"/>
      <c r="H5" s="263"/>
      <c r="I5" s="226"/>
      <c r="J5" s="226"/>
    </row>
    <row r="6" spans="2:10" ht="20.25" customHeight="1">
      <c r="B6" s="263"/>
      <c r="C6" s="263"/>
      <c r="D6" s="263"/>
      <c r="E6" s="263"/>
      <c r="F6" s="263"/>
      <c r="G6" s="263"/>
      <c r="H6" s="263"/>
      <c r="I6" s="226"/>
      <c r="J6" s="226"/>
    </row>
    <row r="7" spans="2:10" ht="8.25" customHeight="1"/>
    <row r="8" spans="2:10">
      <c r="B8" s="163" t="s">
        <v>0</v>
      </c>
      <c r="C8" s="172"/>
      <c r="D8" s="270" t="s">
        <v>68</v>
      </c>
      <c r="E8" s="270"/>
    </row>
    <row r="9" spans="2:10">
      <c r="B9" s="163" t="s">
        <v>1</v>
      </c>
      <c r="C9" s="172"/>
      <c r="D9" s="224">
        <v>1971</v>
      </c>
      <c r="E9" s="224"/>
    </row>
    <row r="10" spans="2:10" ht="15.75" hidden="1" customHeight="1" outlineLevel="1">
      <c r="B10" s="163" t="s">
        <v>2</v>
      </c>
      <c r="C10" s="172"/>
      <c r="D10" s="224">
        <v>4</v>
      </c>
      <c r="E10" s="224"/>
    </row>
    <row r="11" spans="2:10" ht="15.75" hidden="1" customHeight="1" outlineLevel="1">
      <c r="B11" s="163" t="s">
        <v>3</v>
      </c>
      <c r="C11" s="172"/>
      <c r="D11" s="224">
        <v>33</v>
      </c>
      <c r="E11" s="224"/>
    </row>
    <row r="12" spans="2:10" ht="30.75" hidden="1" customHeight="1" outlineLevel="1">
      <c r="B12" s="165" t="s">
        <v>4</v>
      </c>
      <c r="C12" s="173"/>
      <c r="D12" s="224" t="s">
        <v>69</v>
      </c>
      <c r="E12" s="224"/>
    </row>
    <row r="13" spans="2:10" collapsed="1">
      <c r="B13" s="163" t="s">
        <v>5</v>
      </c>
      <c r="C13" s="172"/>
      <c r="D13" s="224" t="s">
        <v>129</v>
      </c>
      <c r="E13" s="224"/>
    </row>
    <row r="14" spans="2:10" ht="15.75" hidden="1" customHeight="1" outlineLevel="1">
      <c r="B14" s="1" t="s">
        <v>6</v>
      </c>
      <c r="D14" s="156" t="s">
        <v>70</v>
      </c>
      <c r="E14" s="156"/>
    </row>
    <row r="15" spans="2:10" ht="30.75" hidden="1" customHeight="1" outlineLevel="1">
      <c r="B15" s="15" t="s">
        <v>8</v>
      </c>
      <c r="C15" s="73"/>
      <c r="D15" s="225" t="s">
        <v>71</v>
      </c>
      <c r="E15" s="156"/>
    </row>
    <row r="16" spans="2:10" ht="16.5" collapsed="1" thickBot="1">
      <c r="B16" s="249" t="s">
        <v>172</v>
      </c>
      <c r="C16" s="249"/>
      <c r="D16" s="249"/>
      <c r="E16" s="249"/>
      <c r="F16" s="249"/>
      <c r="G16" s="249"/>
      <c r="H16" s="249"/>
    </row>
    <row r="17" spans="2:14" ht="41.2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</row>
    <row r="18" spans="2:14">
      <c r="B18" s="150" t="s">
        <v>11</v>
      </c>
      <c r="C18" s="275">
        <v>3203860.94</v>
      </c>
      <c r="D18" s="288"/>
      <c r="E18" s="275">
        <v>2230468.9500000002</v>
      </c>
      <c r="F18" s="288"/>
      <c r="G18" s="275">
        <v>973391.99</v>
      </c>
      <c r="H18" s="294"/>
    </row>
    <row r="19" spans="2:14">
      <c r="B19" s="151" t="s">
        <v>12</v>
      </c>
      <c r="C19" s="239">
        <v>3117870.92</v>
      </c>
      <c r="D19" s="289"/>
      <c r="E19" s="239">
        <v>2170533.13</v>
      </c>
      <c r="F19" s="289"/>
      <c r="G19" s="239">
        <v>947337.79</v>
      </c>
      <c r="H19" s="295"/>
    </row>
    <row r="20" spans="2:14" ht="16.5" thickBot="1">
      <c r="B20" s="152" t="s">
        <v>88</v>
      </c>
      <c r="C20" s="278">
        <v>3361127.6030000001</v>
      </c>
      <c r="D20" s="285"/>
      <c r="E20" s="278">
        <v>2267762.6030000001</v>
      </c>
      <c r="F20" s="285"/>
      <c r="G20" s="278">
        <v>1093365</v>
      </c>
      <c r="H20" s="293"/>
    </row>
    <row r="21" spans="2:14" ht="36.75" thickBot="1">
      <c r="B21" s="153" t="s">
        <v>143</v>
      </c>
      <c r="C21" s="243">
        <f>E21+G21</f>
        <v>-243256.68300000019</v>
      </c>
      <c r="D21" s="286"/>
      <c r="E21" s="254">
        <f>E19-E20</f>
        <v>-97229.473000000231</v>
      </c>
      <c r="F21" s="286"/>
      <c r="G21" s="254">
        <f>G19-G20</f>
        <v>-146027.20999999996</v>
      </c>
      <c r="H21" s="296"/>
    </row>
    <row r="22" spans="2:14">
      <c r="B22" s="15"/>
      <c r="C22" s="73"/>
      <c r="D22" s="225"/>
      <c r="E22" s="156"/>
    </row>
    <row r="23" spans="2:14" ht="35.25" customHeight="1" thickBot="1">
      <c r="B23" s="272" t="s">
        <v>176</v>
      </c>
      <c r="C23" s="272"/>
      <c r="D23" s="272"/>
      <c r="E23" s="272"/>
      <c r="F23" s="272"/>
      <c r="G23" s="272"/>
      <c r="H23" s="272"/>
      <c r="I23" s="139"/>
      <c r="J23" s="139"/>
      <c r="L23" s="84"/>
      <c r="M23" s="233" t="s">
        <v>145</v>
      </c>
      <c r="N23" s="233" t="s">
        <v>146</v>
      </c>
    </row>
    <row r="24" spans="2:14" ht="37.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I24" s="140"/>
      <c r="J24" s="140"/>
      <c r="L24" s="84"/>
      <c r="M24" s="287"/>
      <c r="N24" s="287"/>
    </row>
    <row r="25" spans="2:14" ht="41.2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I25" s="140"/>
      <c r="J25" s="140"/>
      <c r="M25" s="201">
        <v>247252</v>
      </c>
      <c r="N25" s="201">
        <f>M25</f>
        <v>247252</v>
      </c>
    </row>
    <row r="26" spans="2:14" ht="38.25">
      <c r="B26" s="19" t="s">
        <v>86</v>
      </c>
      <c r="C26" s="20" t="s">
        <v>97</v>
      </c>
      <c r="D26" s="21" t="s">
        <v>98</v>
      </c>
      <c r="E26" s="22">
        <v>1.82</v>
      </c>
      <c r="F26" s="23">
        <f>$M$25/$M$26*E26</f>
        <v>32211.785254115959</v>
      </c>
      <c r="G26" s="24">
        <f>$N$25/$N$26*E26</f>
        <v>32211.785254115959</v>
      </c>
      <c r="H26" s="25">
        <f>F26-G26</f>
        <v>0</v>
      </c>
      <c r="I26" s="141"/>
      <c r="J26" s="141"/>
      <c r="K26" s="220"/>
      <c r="L26" s="93"/>
      <c r="M26" s="203">
        <f>E35-E33</f>
        <v>13.97</v>
      </c>
      <c r="N26" s="203">
        <f>M26</f>
        <v>13.97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1.97</v>
      </c>
      <c r="F27" s="23">
        <f t="shared" ref="F27:F34" si="0">$M$25/$M$26*E27</f>
        <v>34866.602720114526</v>
      </c>
      <c r="G27" s="24">
        <f t="shared" ref="G27:G28" si="1">$N$25/$N$26*E27</f>
        <v>34866.602720114526</v>
      </c>
      <c r="H27" s="25">
        <f t="shared" ref="H27:H32" si="2">F27-G27</f>
        <v>0</v>
      </c>
      <c r="I27" s="141"/>
      <c r="J27" s="141"/>
      <c r="K27" s="2"/>
      <c r="L27" s="97"/>
      <c r="M27" s="180"/>
      <c r="N27" s="180"/>
    </row>
    <row r="28" spans="2:14" ht="27.7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5663.6105941302785</v>
      </c>
      <c r="G28" s="24">
        <f t="shared" si="1"/>
        <v>5663.6105941302785</v>
      </c>
      <c r="H28" s="25">
        <f t="shared" si="2"/>
        <v>0</v>
      </c>
      <c r="I28" s="141"/>
      <c r="J28" s="141"/>
      <c r="L28" s="84"/>
    </row>
    <row r="29" spans="2:14" ht="25.5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10265.294201861128</v>
      </c>
      <c r="G29" s="24">
        <f t="shared" ref="G29:G31" si="3">$N$25/$N$26*E29</f>
        <v>10265.294201861128</v>
      </c>
      <c r="H29" s="25">
        <f t="shared" si="2"/>
        <v>0</v>
      </c>
      <c r="I29" s="141"/>
      <c r="J29" s="141"/>
      <c r="L29" s="84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24424.320687186824</v>
      </c>
      <c r="G30" s="24">
        <f t="shared" si="3"/>
        <v>24424.320687186824</v>
      </c>
      <c r="H30" s="25">
        <f t="shared" si="2"/>
        <v>0</v>
      </c>
      <c r="I30" s="141"/>
      <c r="J30" s="141"/>
    </row>
    <row r="31" spans="2:14" ht="220.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115750.04151753757</v>
      </c>
      <c r="G31" s="24">
        <f t="shared" si="3"/>
        <v>115750.04151753757</v>
      </c>
      <c r="H31" s="25">
        <f t="shared" si="2"/>
        <v>0</v>
      </c>
      <c r="I31" s="141"/>
      <c r="J31" s="141"/>
      <c r="K31" s="2"/>
      <c r="L31" s="98"/>
      <c r="M31" s="180"/>
      <c r="N31" s="180"/>
    </row>
    <row r="32" spans="2:14" ht="104.2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4955.6592698639943</v>
      </c>
      <c r="G32" s="24">
        <f t="shared" ref="G32" si="4">$N$25/$N$26*E32</f>
        <v>4955.6592698639943</v>
      </c>
      <c r="H32" s="25">
        <f t="shared" si="2"/>
        <v>0</v>
      </c>
      <c r="I32" s="141"/>
      <c r="J32" s="141"/>
    </row>
    <row r="33" spans="2:14" ht="27.75" customHeight="1">
      <c r="B33" s="32" t="s">
        <v>91</v>
      </c>
      <c r="C33" s="20" t="s">
        <v>97</v>
      </c>
      <c r="D33" s="21" t="s">
        <v>98</v>
      </c>
      <c r="E33" s="29">
        <v>5.85</v>
      </c>
      <c r="F33" s="23">
        <v>103537.88</v>
      </c>
      <c r="G33" s="30">
        <v>4461</v>
      </c>
      <c r="H33" s="25">
        <f>F33-G33</f>
        <v>99076.88</v>
      </c>
      <c r="I33" s="141"/>
      <c r="J33" s="141"/>
      <c r="L33" s="84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1.08</v>
      </c>
      <c r="F34" s="23">
        <f t="shared" si="0"/>
        <v>19114.68575518969</v>
      </c>
      <c r="G34" s="24">
        <f t="shared" ref="G34" si="5">$N$25/$N$26*E34</f>
        <v>19114.68575518969</v>
      </c>
      <c r="H34" s="25">
        <f>F34-G34</f>
        <v>0</v>
      </c>
      <c r="I34" s="141"/>
      <c r="J34" s="141"/>
    </row>
    <row r="35" spans="2:14" ht="16.5" thickBot="1">
      <c r="B35" s="39" t="s">
        <v>89</v>
      </c>
      <c r="C35" s="40"/>
      <c r="D35" s="40"/>
      <c r="E35" s="41">
        <f>SUM(E26:E34)</f>
        <v>19.82</v>
      </c>
      <c r="F35" s="42">
        <f>SUM(F26:F34)</f>
        <v>350789.87999999995</v>
      </c>
      <c r="G35" s="43">
        <f>SUM(G26:G34)</f>
        <v>251712.99999999997</v>
      </c>
      <c r="H35" s="44">
        <f>SUM(H26:H34)</f>
        <v>99076.88</v>
      </c>
      <c r="I35" s="142"/>
      <c r="J35" s="142"/>
    </row>
    <row r="36" spans="2:14">
      <c r="B36" s="5"/>
      <c r="C36" s="5"/>
      <c r="D36" s="5"/>
      <c r="E36" s="14"/>
      <c r="F36" s="14"/>
      <c r="G36" s="14"/>
      <c r="H36" s="3"/>
      <c r="I36" s="3"/>
      <c r="J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143"/>
      <c r="J37" s="143"/>
    </row>
    <row r="38" spans="2:14" ht="53.2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57"/>
      <c r="J38" s="158"/>
      <c r="K38" s="46"/>
      <c r="L38" s="117"/>
      <c r="M38" s="181"/>
      <c r="N38" s="181"/>
    </row>
    <row r="39" spans="2:14" ht="21" customHeight="1">
      <c r="B39" s="150" t="s">
        <v>11</v>
      </c>
      <c r="C39" s="275">
        <f>E39+G39</f>
        <v>3553887.0500000003</v>
      </c>
      <c r="D39" s="288"/>
      <c r="E39" s="275">
        <f>F26+F27+F28+F29+F30+F31+F32+F34+E18</f>
        <v>2477720.9500000002</v>
      </c>
      <c r="F39" s="288"/>
      <c r="G39" s="275">
        <f>F33+G18-763.77</f>
        <v>1076166.1000000001</v>
      </c>
      <c r="H39" s="294"/>
      <c r="I39" s="159"/>
      <c r="J39" s="160"/>
      <c r="K39" s="49"/>
      <c r="L39" s="120"/>
      <c r="M39" s="204"/>
    </row>
    <row r="40" spans="2:14">
      <c r="B40" s="151" t="s">
        <v>12</v>
      </c>
      <c r="C40" s="239">
        <f>E40+G40</f>
        <v>3483649.46</v>
      </c>
      <c r="D40" s="289"/>
      <c r="E40" s="239">
        <f>E19+257354.74</f>
        <v>2427887.87</v>
      </c>
      <c r="F40" s="289"/>
      <c r="G40" s="239">
        <f>G19+109161.57-737.77</f>
        <v>1055761.5900000001</v>
      </c>
      <c r="H40" s="295"/>
      <c r="I40" s="159"/>
      <c r="J40" s="161"/>
      <c r="K40" s="51"/>
      <c r="L40" s="120"/>
      <c r="M40" s="204"/>
    </row>
    <row r="41" spans="2:14" ht="16.5" thickBot="1">
      <c r="B41" s="152" t="s">
        <v>88</v>
      </c>
      <c r="C41" s="278">
        <f>E41+G41</f>
        <v>3612840.6030000001</v>
      </c>
      <c r="D41" s="285"/>
      <c r="E41" s="278">
        <f>G26+G27+G28+G29+G30+G31+G32+G34+E20</f>
        <v>2515014.6030000001</v>
      </c>
      <c r="F41" s="285"/>
      <c r="G41" s="278">
        <f>G33+G20</f>
        <v>1097826</v>
      </c>
      <c r="H41" s="293"/>
      <c r="I41" s="159"/>
      <c r="J41" s="48"/>
      <c r="K41" s="33"/>
      <c r="L41" s="100"/>
    </row>
    <row r="42" spans="2:14" ht="30.75" customHeight="1" thickBot="1">
      <c r="B42" s="153" t="s">
        <v>144</v>
      </c>
      <c r="C42" s="243">
        <f>E42+G42</f>
        <v>-129191.14299999992</v>
      </c>
      <c r="D42" s="286"/>
      <c r="E42" s="254">
        <f>E40-E41</f>
        <v>-87126.733000000007</v>
      </c>
      <c r="F42" s="286"/>
      <c r="G42" s="254">
        <f>G40-G41</f>
        <v>-42064.409999999916</v>
      </c>
      <c r="H42" s="296"/>
      <c r="I42" s="162"/>
      <c r="J42" s="147"/>
      <c r="K42" s="33"/>
      <c r="L42" s="100"/>
    </row>
    <row r="43" spans="2:14" ht="15" customHeight="1">
      <c r="B43" s="76"/>
      <c r="C43" s="145"/>
      <c r="D43" s="145"/>
      <c r="E43" s="147"/>
      <c r="F43" s="147"/>
      <c r="G43" s="147"/>
      <c r="H43" s="147"/>
      <c r="I43" s="222"/>
      <c r="J43" s="222"/>
      <c r="K43" s="2"/>
      <c r="L43" s="97"/>
      <c r="M43" s="180"/>
      <c r="N43" s="180"/>
    </row>
    <row r="44" spans="2:14" ht="16.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223"/>
      <c r="J44" s="223"/>
      <c r="K44" s="2"/>
      <c r="L44" s="97"/>
      <c r="M44" s="180"/>
      <c r="N44" s="180"/>
    </row>
    <row r="45" spans="2:14" ht="9.75" customHeight="1">
      <c r="B45" s="52"/>
      <c r="C45" s="53"/>
      <c r="D45" s="53"/>
      <c r="E45" s="227"/>
      <c r="F45" s="259"/>
      <c r="G45" s="259"/>
      <c r="H45" s="52"/>
      <c r="I45" s="222"/>
      <c r="J45" s="222"/>
      <c r="K45" s="2"/>
      <c r="L45" s="97"/>
      <c r="M45" s="180"/>
      <c r="N45" s="180"/>
    </row>
    <row r="46" spans="2:14" ht="1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222"/>
      <c r="J46" s="222"/>
    </row>
    <row r="47" spans="2:14" ht="8.25" customHeight="1">
      <c r="B47" s="52"/>
      <c r="C47" s="53"/>
      <c r="D47" s="53"/>
      <c r="E47" s="227"/>
      <c r="F47" s="258"/>
      <c r="G47" s="258"/>
      <c r="H47" s="52"/>
      <c r="I47" s="222"/>
      <c r="J47" s="222"/>
    </row>
    <row r="48" spans="2:14" ht="14.2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56"/>
      <c r="J48" s="56"/>
    </row>
    <row r="49" spans="2:8" ht="9" customHeight="1">
      <c r="B49" s="54"/>
      <c r="C49" s="55"/>
      <c r="D49" s="55"/>
      <c r="E49" s="227"/>
      <c r="F49" s="183"/>
      <c r="G49" s="54"/>
      <c r="H49" s="56"/>
    </row>
    <row r="50" spans="2:8" ht="1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</row>
    <row r="51" spans="2:8">
      <c r="B51" s="8"/>
      <c r="C51" s="69"/>
      <c r="D51" s="70"/>
      <c r="E51" s="227"/>
      <c r="F51" s="8"/>
      <c r="G51" s="8"/>
    </row>
    <row r="52" spans="2:8">
      <c r="C52" s="14"/>
    </row>
    <row r="53" spans="2:8">
      <c r="C53" s="14"/>
    </row>
    <row r="54" spans="2:8">
      <c r="C54" s="14"/>
    </row>
    <row r="55" spans="2:8">
      <c r="C55" s="14"/>
    </row>
    <row r="56" spans="2:8">
      <c r="C56" s="14"/>
    </row>
    <row r="57" spans="2:8">
      <c r="C57" s="14"/>
    </row>
    <row r="58" spans="2:8">
      <c r="C58" s="14"/>
    </row>
    <row r="59" spans="2:8">
      <c r="C59" s="14"/>
    </row>
    <row r="60" spans="2:8">
      <c r="C60" s="14"/>
    </row>
    <row r="61" spans="2:8">
      <c r="C61" s="14"/>
    </row>
    <row r="62" spans="2:8">
      <c r="C62" s="14"/>
    </row>
    <row r="63" spans="2:8">
      <c r="C63" s="14"/>
    </row>
    <row r="64" spans="2:8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</sheetData>
  <mergeCells count="57">
    <mergeCell ref="B2:H2"/>
    <mergeCell ref="F50:G50"/>
    <mergeCell ref="G41:H41"/>
    <mergeCell ref="B1:H1"/>
    <mergeCell ref="B5:H6"/>
    <mergeCell ref="D24:D25"/>
    <mergeCell ref="E24:E25"/>
    <mergeCell ref="F24:G24"/>
    <mergeCell ref="H24:H25"/>
    <mergeCell ref="G38:H38"/>
    <mergeCell ref="G39:H39"/>
    <mergeCell ref="G40:H40"/>
    <mergeCell ref="D8:E8"/>
    <mergeCell ref="B37:H37"/>
    <mergeCell ref="B23:H23"/>
    <mergeCell ref="B24:B25"/>
    <mergeCell ref="B3:H3"/>
    <mergeCell ref="B4:H4"/>
    <mergeCell ref="E41:F41"/>
    <mergeCell ref="F47:G47"/>
    <mergeCell ref="B16:H16"/>
    <mergeCell ref="C17:D17"/>
    <mergeCell ref="E17:F17"/>
    <mergeCell ref="G17:H17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C50:E50"/>
    <mergeCell ref="E42:F42"/>
    <mergeCell ref="F46:G46"/>
    <mergeCell ref="G42:H42"/>
    <mergeCell ref="F44:G44"/>
    <mergeCell ref="F45:G45"/>
    <mergeCell ref="F48:G48"/>
    <mergeCell ref="C41:D41"/>
    <mergeCell ref="C42:D42"/>
    <mergeCell ref="C44:E44"/>
    <mergeCell ref="C46:E46"/>
    <mergeCell ref="C48:E48"/>
    <mergeCell ref="M23:M24"/>
    <mergeCell ref="N23:N24"/>
    <mergeCell ref="C38:D38"/>
    <mergeCell ref="C39:D39"/>
    <mergeCell ref="C40:D40"/>
    <mergeCell ref="E40:F40"/>
    <mergeCell ref="E38:F38"/>
    <mergeCell ref="E39:F39"/>
    <mergeCell ref="C24:C25"/>
  </mergeCells>
  <printOptions horizontalCentered="1"/>
  <pageMargins left="0.19685039370078741" right="0.19685039370078741" top="0.15748031496062992" bottom="0.23622047244094491" header="0.31496062992125984" footer="0.25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rgb="FF0070C0"/>
    <pageSetUpPr fitToPage="1"/>
  </sheetPr>
  <dimension ref="A1:N52"/>
  <sheetViews>
    <sheetView topLeftCell="A32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5.85546875" style="1" customWidth="1"/>
    <col min="3" max="3" width="14.28515625" style="60" customWidth="1"/>
    <col min="4" max="4" width="8.85546875" style="3" customWidth="1"/>
    <col min="5" max="5" width="9.85546875" style="3" customWidth="1"/>
    <col min="6" max="6" width="10.42578125" style="1" customWidth="1"/>
    <col min="7" max="8" width="10.28515625" style="1" customWidth="1"/>
    <col min="9" max="9" width="16.42578125" style="1" customWidth="1"/>
    <col min="10" max="10" width="14.7109375" style="1" customWidth="1"/>
    <col min="11" max="12" width="9.140625" style="1"/>
    <col min="13" max="13" width="18" style="179" customWidth="1"/>
    <col min="14" max="14" width="21.5703125" style="179" customWidth="1"/>
    <col min="15" max="15" width="11.42578125" style="1" customWidth="1"/>
    <col min="16" max="16384" width="9.140625" style="1"/>
  </cols>
  <sheetData>
    <row r="1" spans="1:9">
      <c r="B1" s="262" t="s">
        <v>119</v>
      </c>
      <c r="C1" s="262"/>
      <c r="D1" s="262"/>
      <c r="E1" s="262"/>
      <c r="F1" s="262"/>
      <c r="G1" s="262"/>
      <c r="H1" s="262"/>
    </row>
    <row r="2" spans="1:9">
      <c r="B2" s="262" t="s">
        <v>120</v>
      </c>
      <c r="C2" s="262"/>
      <c r="D2" s="262"/>
      <c r="E2" s="262"/>
      <c r="F2" s="262"/>
      <c r="G2" s="262"/>
      <c r="H2" s="262"/>
    </row>
    <row r="3" spans="1:9">
      <c r="B3" s="262" t="s">
        <v>150</v>
      </c>
      <c r="C3" s="262"/>
      <c r="D3" s="262"/>
      <c r="E3" s="262"/>
      <c r="F3" s="262"/>
      <c r="G3" s="262"/>
      <c r="H3" s="262"/>
    </row>
    <row r="4" spans="1:9">
      <c r="B4" s="262" t="s">
        <v>174</v>
      </c>
      <c r="C4" s="262"/>
      <c r="D4" s="262"/>
      <c r="E4" s="262"/>
      <c r="F4" s="262"/>
      <c r="G4" s="262"/>
      <c r="H4" s="262"/>
    </row>
    <row r="5" spans="1:9" ht="15.75" customHeight="1">
      <c r="A5" s="13"/>
      <c r="B5" s="263" t="s">
        <v>175</v>
      </c>
      <c r="C5" s="263"/>
      <c r="D5" s="263"/>
      <c r="E5" s="263"/>
      <c r="F5" s="263"/>
      <c r="G5" s="263"/>
      <c r="H5" s="263"/>
    </row>
    <row r="6" spans="1:9" ht="24" customHeight="1">
      <c r="A6" s="13"/>
      <c r="B6" s="263"/>
      <c r="C6" s="263"/>
      <c r="D6" s="263"/>
      <c r="E6" s="263"/>
      <c r="F6" s="263"/>
      <c r="G6" s="263"/>
      <c r="H6" s="263"/>
    </row>
    <row r="7" spans="1:9" ht="7.5" customHeight="1"/>
    <row r="8" spans="1:9" ht="12" customHeight="1">
      <c r="B8" s="163" t="s">
        <v>0</v>
      </c>
      <c r="C8" s="167"/>
      <c r="D8" s="270" t="s">
        <v>16</v>
      </c>
      <c r="E8" s="270"/>
      <c r="F8" s="163"/>
    </row>
    <row r="9" spans="1:9" ht="15.75" customHeight="1">
      <c r="B9" s="163" t="s">
        <v>1</v>
      </c>
      <c r="C9" s="167"/>
      <c r="D9" s="209">
        <v>1971</v>
      </c>
      <c r="E9" s="209"/>
      <c r="F9" s="163"/>
    </row>
    <row r="10" spans="1:9" hidden="1" outlineLevel="1">
      <c r="B10" s="163" t="s">
        <v>2</v>
      </c>
      <c r="C10" s="167"/>
      <c r="D10" s="209">
        <v>4</v>
      </c>
      <c r="E10" s="209"/>
      <c r="F10" s="163"/>
    </row>
    <row r="11" spans="1:9" hidden="1" outlineLevel="1">
      <c r="B11" s="163" t="s">
        <v>3</v>
      </c>
      <c r="C11" s="167"/>
      <c r="D11" s="209">
        <v>64</v>
      </c>
      <c r="E11" s="209"/>
      <c r="F11" s="163"/>
    </row>
    <row r="12" spans="1:9" ht="30.75" hidden="1" customHeight="1" outlineLevel="1">
      <c r="B12" s="165" t="s">
        <v>4</v>
      </c>
      <c r="C12" s="168"/>
      <c r="D12" s="209" t="s">
        <v>17</v>
      </c>
      <c r="E12" s="209"/>
      <c r="F12" s="163"/>
    </row>
    <row r="13" spans="1:9" collapsed="1">
      <c r="B13" s="163" t="s">
        <v>5</v>
      </c>
      <c r="C13" s="167"/>
      <c r="D13" s="209" t="s">
        <v>124</v>
      </c>
      <c r="E13" s="209"/>
      <c r="F13" s="163"/>
      <c r="I13" s="5"/>
    </row>
    <row r="14" spans="1:9" hidden="1" outlineLevel="1">
      <c r="B14" s="1" t="s">
        <v>6</v>
      </c>
      <c r="D14" s="156" t="s">
        <v>7</v>
      </c>
      <c r="E14" s="156"/>
    </row>
    <row r="15" spans="1:9" ht="30.75" hidden="1" customHeight="1" outlineLevel="1">
      <c r="B15" s="15" t="s">
        <v>8</v>
      </c>
      <c r="C15" s="61"/>
      <c r="D15" s="210" t="s">
        <v>18</v>
      </c>
      <c r="E15" s="156"/>
      <c r="I15" s="5"/>
    </row>
    <row r="16" spans="1:9" ht="18" customHeight="1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4" ht="44.2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4" ht="18" customHeight="1">
      <c r="B18" s="150" t="s">
        <v>11</v>
      </c>
      <c r="C18" s="275">
        <v>5486115.6100000003</v>
      </c>
      <c r="D18" s="276"/>
      <c r="E18" s="237">
        <v>3906335.37</v>
      </c>
      <c r="F18" s="238"/>
      <c r="G18" s="237">
        <v>1579780.24</v>
      </c>
      <c r="H18" s="253"/>
      <c r="I18" s="5"/>
    </row>
    <row r="19" spans="2:14" ht="18" customHeight="1">
      <c r="B19" s="151" t="s">
        <v>12</v>
      </c>
      <c r="C19" s="239">
        <v>5275554.75</v>
      </c>
      <c r="D19" s="277"/>
      <c r="E19" s="239">
        <v>3752109.63</v>
      </c>
      <c r="F19" s="240"/>
      <c r="G19" s="239">
        <v>1523445.1199999999</v>
      </c>
      <c r="H19" s="250"/>
      <c r="I19" s="5"/>
    </row>
    <row r="20" spans="2:14" ht="18" customHeight="1" thickBot="1">
      <c r="B20" s="152" t="s">
        <v>88</v>
      </c>
      <c r="C20" s="278">
        <v>5488892.5002000006</v>
      </c>
      <c r="D20" s="279"/>
      <c r="E20" s="241">
        <v>3966223.5002000006</v>
      </c>
      <c r="F20" s="242"/>
      <c r="G20" s="241">
        <v>1522669</v>
      </c>
      <c r="H20" s="251"/>
      <c r="I20" s="5"/>
    </row>
    <row r="21" spans="2:14" ht="32.25" customHeight="1" thickBot="1">
      <c r="B21" s="153" t="s">
        <v>143</v>
      </c>
      <c r="C21" s="243">
        <f>E21+G21</f>
        <v>-213337.75020000082</v>
      </c>
      <c r="D21" s="244"/>
      <c r="E21" s="254">
        <f>E19-E20</f>
        <v>-214113.8702000007</v>
      </c>
      <c r="F21" s="255"/>
      <c r="G21" s="254">
        <f>G19-G20</f>
        <v>776.11999999987893</v>
      </c>
      <c r="H21" s="256"/>
      <c r="I21" s="5"/>
    </row>
    <row r="22" spans="2:14" ht="13.5" customHeight="1">
      <c r="B22" s="15"/>
      <c r="C22" s="61"/>
      <c r="D22" s="210"/>
      <c r="E22" s="156"/>
      <c r="I22" s="5"/>
    </row>
    <row r="23" spans="2:14" ht="29.25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4" ht="36.7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5"/>
      <c r="M24" s="234"/>
      <c r="N24" s="234"/>
    </row>
    <row r="25" spans="2:14" ht="42.7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1">
        <v>401545.23</v>
      </c>
      <c r="N25" s="203">
        <f>M25</f>
        <v>401545.23</v>
      </c>
    </row>
    <row r="26" spans="2:14" s="208" customFormat="1" ht="43.5" customHeight="1">
      <c r="B26" s="19" t="s">
        <v>86</v>
      </c>
      <c r="C26" s="20" t="s">
        <v>97</v>
      </c>
      <c r="D26" s="21" t="s">
        <v>98</v>
      </c>
      <c r="E26" s="22">
        <v>1.27</v>
      </c>
      <c r="F26" s="23">
        <f t="shared" ref="F26:F31" si="0">$M$25/$M$26*E26</f>
        <v>39227.880161538458</v>
      </c>
      <c r="G26" s="24">
        <f t="shared" ref="G26:G31" si="1">$N$25/$N$26*E26</f>
        <v>39227.880161538458</v>
      </c>
      <c r="H26" s="25">
        <f>F26-G26</f>
        <v>0</v>
      </c>
      <c r="I26" s="26"/>
      <c r="L26" s="27"/>
      <c r="M26" s="203">
        <f>E35-E33</f>
        <v>13</v>
      </c>
      <c r="N26" s="203">
        <f>M26</f>
        <v>13</v>
      </c>
    </row>
    <row r="27" spans="2:14" s="2" customFormat="1" ht="51">
      <c r="B27" s="28" t="s">
        <v>90</v>
      </c>
      <c r="C27" s="20" t="s">
        <v>97</v>
      </c>
      <c r="D27" s="21" t="s">
        <v>98</v>
      </c>
      <c r="E27" s="29">
        <v>1.43</v>
      </c>
      <c r="F27" s="23">
        <f t="shared" si="0"/>
        <v>44169.975299999991</v>
      </c>
      <c r="G27" s="24">
        <f t="shared" si="1"/>
        <v>44169.975299999991</v>
      </c>
      <c r="H27" s="25">
        <f t="shared" ref="H27:H32" si="2">F27-G27</f>
        <v>0</v>
      </c>
      <c r="I27" s="31"/>
      <c r="M27" s="180"/>
      <c r="N27" s="180"/>
    </row>
    <row r="28" spans="2:14" ht="30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9884.1902769230765</v>
      </c>
      <c r="G28" s="24">
        <f t="shared" si="1"/>
        <v>9884.1902769230765</v>
      </c>
      <c r="H28" s="25">
        <f t="shared" si="2"/>
        <v>0</v>
      </c>
      <c r="I28" s="33"/>
      <c r="L28" s="5"/>
    </row>
    <row r="29" spans="2:14" ht="29.25" customHeight="1">
      <c r="B29" s="32" t="s">
        <v>84</v>
      </c>
      <c r="C29" s="34" t="s">
        <v>99</v>
      </c>
      <c r="D29" s="21" t="s">
        <v>98</v>
      </c>
      <c r="E29" s="29">
        <v>0.38</v>
      </c>
      <c r="F29" s="23">
        <f t="shared" si="0"/>
        <v>11737.475953846153</v>
      </c>
      <c r="G29" s="24">
        <f t="shared" si="1"/>
        <v>11737.475953846153</v>
      </c>
      <c r="H29" s="25">
        <f t="shared" si="2"/>
        <v>0</v>
      </c>
      <c r="I29" s="33"/>
      <c r="L29" s="5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42625.57056923076</v>
      </c>
      <c r="G30" s="24">
        <f t="shared" si="1"/>
        <v>42625.57056923076</v>
      </c>
      <c r="H30" s="25">
        <f t="shared" si="2"/>
        <v>0</v>
      </c>
      <c r="I30" s="33"/>
    </row>
    <row r="31" spans="2:14" ht="213.7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202008.13878461538</v>
      </c>
      <c r="G31" s="24">
        <f t="shared" si="1"/>
        <v>202008.13878461538</v>
      </c>
      <c r="H31" s="25">
        <f t="shared" si="2"/>
        <v>0</v>
      </c>
      <c r="I31" s="31"/>
      <c r="J31" s="2"/>
      <c r="K31" s="2"/>
      <c r="L31" s="4"/>
      <c r="M31" s="180"/>
      <c r="N31" s="180"/>
    </row>
    <row r="32" spans="2:14" ht="107.4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>$M$25/$M$26*E32</f>
        <v>8648.6664923076914</v>
      </c>
      <c r="G32" s="24">
        <f>$N$25/$N$26*E32</f>
        <v>8648.6664923076914</v>
      </c>
      <c r="H32" s="25">
        <f t="shared" si="2"/>
        <v>0</v>
      </c>
      <c r="I32" s="33"/>
    </row>
    <row r="33" spans="2:14" ht="36">
      <c r="B33" s="32" t="s">
        <v>91</v>
      </c>
      <c r="C33" s="20" t="s">
        <v>97</v>
      </c>
      <c r="D33" s="21" t="s">
        <v>98</v>
      </c>
      <c r="E33" s="29">
        <v>5.95</v>
      </c>
      <c r="F33" s="23">
        <v>183784.17</v>
      </c>
      <c r="G33" s="30">
        <v>177444</v>
      </c>
      <c r="H33" s="25">
        <f>F33-G33</f>
        <v>6340.1700000000128</v>
      </c>
      <c r="I33" s="33"/>
      <c r="L33" s="5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1.4</v>
      </c>
      <c r="F34" s="23">
        <f>$M$25/$M$26*E34</f>
        <v>43243.332461538455</v>
      </c>
      <c r="G34" s="24">
        <f>$N$25/$N$26*E34</f>
        <v>43243.332461538455</v>
      </c>
      <c r="H34" s="25">
        <f>F34-G34</f>
        <v>0</v>
      </c>
      <c r="I34" s="33"/>
    </row>
    <row r="35" spans="2:14" ht="16.5" thickBot="1">
      <c r="B35" s="39" t="s">
        <v>89</v>
      </c>
      <c r="C35" s="40"/>
      <c r="D35" s="40"/>
      <c r="E35" s="41">
        <f>SUM(E26:E34)</f>
        <v>18.95</v>
      </c>
      <c r="F35" s="42">
        <f>SUM(F26:F34)</f>
        <v>585329.4</v>
      </c>
      <c r="G35" s="43">
        <f>SUM(G26:G34)</f>
        <v>578989.23</v>
      </c>
      <c r="H35" s="44">
        <f>SUM(H26:H34)</f>
        <v>6340.1700000000128</v>
      </c>
      <c r="I35" s="65"/>
    </row>
    <row r="36" spans="2:14" s="3" customFormat="1" ht="11.25" customHeight="1">
      <c r="B36" s="5"/>
      <c r="C36" s="5"/>
      <c r="D36" s="5"/>
      <c r="E36" s="14"/>
      <c r="I36" s="1"/>
      <c r="J36" s="1"/>
      <c r="K36" s="1"/>
      <c r="L36" s="1"/>
      <c r="M36" s="179"/>
      <c r="N36" s="179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42.7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57"/>
      <c r="J38" s="158"/>
      <c r="K38" s="46"/>
      <c r="L38" s="47"/>
      <c r="M38" s="181"/>
      <c r="N38" s="181"/>
    </row>
    <row r="39" spans="2:14">
      <c r="B39" s="150" t="s">
        <v>11</v>
      </c>
      <c r="C39" s="237">
        <f>E39+G39</f>
        <v>6071445.0099999998</v>
      </c>
      <c r="D39" s="238"/>
      <c r="E39" s="237">
        <f>F26+F27+F28+F29+F30+F31+F32+F34+E18</f>
        <v>4307880.5999999996</v>
      </c>
      <c r="F39" s="238"/>
      <c r="G39" s="237">
        <f>F33+G18</f>
        <v>1763564.41</v>
      </c>
      <c r="H39" s="253"/>
      <c r="I39" s="159"/>
      <c r="J39" s="160"/>
      <c r="K39" s="49"/>
      <c r="L39" s="49"/>
      <c r="M39" s="204"/>
    </row>
    <row r="40" spans="2:14">
      <c r="B40" s="151" t="s">
        <v>12</v>
      </c>
      <c r="C40" s="239">
        <f>E40+G40</f>
        <v>5458893.1099999994</v>
      </c>
      <c r="D40" s="240"/>
      <c r="E40" s="239">
        <f>E19</f>
        <v>3752109.63</v>
      </c>
      <c r="F40" s="240"/>
      <c r="G40" s="239">
        <f>G19+183338.36</f>
        <v>1706783.48</v>
      </c>
      <c r="H40" s="250"/>
      <c r="I40" s="159"/>
      <c r="J40" s="161"/>
      <c r="K40" s="51"/>
      <c r="L40" s="49"/>
      <c r="M40" s="204"/>
    </row>
    <row r="41" spans="2:14" ht="15.75" customHeight="1" thickBot="1">
      <c r="B41" s="152" t="s">
        <v>88</v>
      </c>
      <c r="C41" s="241">
        <f>E41+G41</f>
        <v>6067881.7302000001</v>
      </c>
      <c r="D41" s="242"/>
      <c r="E41" s="241">
        <f>G26+G27+G28+G29+G30+G31+G32+G34+E20</f>
        <v>4367768.7302000001</v>
      </c>
      <c r="F41" s="242"/>
      <c r="G41" s="241">
        <f>G33+G20</f>
        <v>1700113</v>
      </c>
      <c r="H41" s="251"/>
      <c r="I41" s="159"/>
      <c r="J41" s="48"/>
      <c r="K41" s="33"/>
      <c r="L41" s="33"/>
    </row>
    <row r="42" spans="2:14" ht="26.25" customHeight="1" thickBot="1">
      <c r="B42" s="153" t="s">
        <v>144</v>
      </c>
      <c r="C42" s="243">
        <f>E42+G42</f>
        <v>-608988.62020000024</v>
      </c>
      <c r="D42" s="244"/>
      <c r="E42" s="254">
        <f>E40-E41</f>
        <v>-615659.10020000022</v>
      </c>
      <c r="F42" s="255"/>
      <c r="G42" s="260">
        <f>G40-G41</f>
        <v>6670.4799999999814</v>
      </c>
      <c r="H42" s="261"/>
      <c r="I42" s="162"/>
      <c r="J42" s="147"/>
      <c r="K42" s="33"/>
      <c r="L42" s="33"/>
    </row>
    <row r="43" spans="2:14" s="2" customFormat="1" ht="12" customHeight="1">
      <c r="B43" s="76"/>
      <c r="C43" s="145"/>
      <c r="D43" s="145"/>
      <c r="E43" s="146"/>
      <c r="F43" s="147"/>
      <c r="G43" s="147"/>
      <c r="H43" s="147"/>
      <c r="I43" s="52"/>
      <c r="M43" s="180"/>
      <c r="N43" s="180"/>
    </row>
    <row r="44" spans="2:14" s="2" customFormat="1" ht="12.7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52"/>
      <c r="M44" s="180"/>
      <c r="N44" s="180"/>
    </row>
    <row r="45" spans="2:14" s="2" customFormat="1" ht="12" customHeight="1">
      <c r="B45" s="52"/>
      <c r="C45" s="53"/>
      <c r="D45" s="53"/>
      <c r="E45" s="219"/>
      <c r="F45" s="259"/>
      <c r="G45" s="259"/>
      <c r="H45" s="52"/>
      <c r="I45" s="52"/>
      <c r="M45" s="180"/>
      <c r="N45" s="180"/>
    </row>
    <row r="46" spans="2:14" ht="13.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4" ht="9.75" customHeight="1">
      <c r="B47" s="52"/>
      <c r="C47" s="53"/>
      <c r="D47" s="53"/>
      <c r="E47" s="219"/>
      <c r="F47" s="258"/>
      <c r="G47" s="258"/>
      <c r="H47" s="52"/>
      <c r="I47" s="52"/>
    </row>
    <row r="48" spans="2:14" ht="17.2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6"/>
    </row>
    <row r="49" spans="2:9" ht="10.5" customHeight="1">
      <c r="B49" s="54"/>
      <c r="C49" s="55"/>
      <c r="D49" s="55"/>
      <c r="E49" s="219"/>
      <c r="F49" s="183"/>
      <c r="G49" s="54"/>
      <c r="H49" s="56"/>
      <c r="I49" s="52"/>
    </row>
    <row r="50" spans="2:9" ht="14.2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  <c r="I50" s="3"/>
    </row>
    <row r="51" spans="2:9" ht="12" customHeight="1">
      <c r="C51" s="1"/>
      <c r="D51" s="1"/>
      <c r="E51" s="219"/>
      <c r="F51" s="257"/>
      <c r="G51" s="257"/>
      <c r="H51" s="3"/>
    </row>
    <row r="52" spans="2:9">
      <c r="C52" s="1"/>
      <c r="D52" s="1"/>
      <c r="E52" s="14"/>
      <c r="F52" s="3"/>
      <c r="G52" s="3"/>
      <c r="H52" s="3"/>
    </row>
  </sheetData>
  <mergeCells count="58">
    <mergeCell ref="D8:E8"/>
    <mergeCell ref="G39:H39"/>
    <mergeCell ref="E38:F38"/>
    <mergeCell ref="F44:G44"/>
    <mergeCell ref="C18:D18"/>
    <mergeCell ref="E18:F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B1:H1"/>
    <mergeCell ref="E24:E25"/>
    <mergeCell ref="F24:G24"/>
    <mergeCell ref="H24:H25"/>
    <mergeCell ref="B2:H2"/>
    <mergeCell ref="B3:H3"/>
    <mergeCell ref="B4:H4"/>
    <mergeCell ref="B23:H23"/>
    <mergeCell ref="B24:B25"/>
    <mergeCell ref="C24:C25"/>
    <mergeCell ref="D24:D25"/>
    <mergeCell ref="B5:H6"/>
    <mergeCell ref="B16:H16"/>
    <mergeCell ref="C17:D17"/>
    <mergeCell ref="E17:F17"/>
    <mergeCell ref="G17:H17"/>
    <mergeCell ref="M23:M24"/>
    <mergeCell ref="N23:N24"/>
    <mergeCell ref="C48:E48"/>
    <mergeCell ref="F48:G48"/>
    <mergeCell ref="F45:G45"/>
    <mergeCell ref="G42:H42"/>
    <mergeCell ref="G38:H38"/>
    <mergeCell ref="C44:E44"/>
    <mergeCell ref="C46:E46"/>
    <mergeCell ref="G41:H41"/>
    <mergeCell ref="E39:F39"/>
    <mergeCell ref="B37:H37"/>
    <mergeCell ref="C50:E50"/>
    <mergeCell ref="F51:G51"/>
    <mergeCell ref="C38:D38"/>
    <mergeCell ref="C39:D39"/>
    <mergeCell ref="C40:D40"/>
    <mergeCell ref="C41:D41"/>
    <mergeCell ref="C42:D42"/>
    <mergeCell ref="E40:F40"/>
    <mergeCell ref="G40:H40"/>
    <mergeCell ref="F50:G50"/>
    <mergeCell ref="E41:F41"/>
    <mergeCell ref="E42:F42"/>
    <mergeCell ref="F47:G47"/>
    <mergeCell ref="F46:G46"/>
  </mergeCells>
  <printOptions horizontalCentered="1"/>
  <pageMargins left="0.19685039370078741" right="0.19685039370078741" top="0.15748031496062992" bottom="0.23622047244094491" header="0.15748031496062992" footer="0.23622047244094491"/>
  <pageSetup paperSize="9" scale="47" orientation="portrait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tabColor rgb="FF0070C0"/>
    <pageSetUpPr fitToPage="1"/>
  </sheetPr>
  <dimension ref="A1:N57"/>
  <sheetViews>
    <sheetView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6" style="1" customWidth="1"/>
    <col min="3" max="3" width="14.28515625" style="127" customWidth="1"/>
    <col min="4" max="4" width="9.140625" style="3" customWidth="1"/>
    <col min="5" max="5" width="9.42578125" style="3" customWidth="1"/>
    <col min="6" max="6" width="10.140625" style="1" customWidth="1"/>
    <col min="7" max="7" width="10.42578125" style="1" customWidth="1"/>
    <col min="8" max="8" width="10.7109375" style="1" customWidth="1"/>
    <col min="9" max="9" width="15.5703125" style="1" customWidth="1"/>
    <col min="10" max="10" width="16.5703125" style="1" customWidth="1"/>
    <col min="11" max="12" width="9.140625" style="1"/>
    <col min="13" max="13" width="16.5703125" style="179" customWidth="1"/>
    <col min="14" max="14" width="16" style="179" customWidth="1"/>
    <col min="15" max="16384" width="9.140625" style="1"/>
  </cols>
  <sheetData>
    <row r="1" spans="1:9">
      <c r="B1" s="262" t="s">
        <v>119</v>
      </c>
      <c r="C1" s="262"/>
      <c r="D1" s="262"/>
      <c r="E1" s="262"/>
      <c r="F1" s="262"/>
      <c r="G1" s="262"/>
      <c r="H1" s="262"/>
    </row>
    <row r="2" spans="1:9">
      <c r="B2" s="262" t="s">
        <v>120</v>
      </c>
      <c r="C2" s="262"/>
      <c r="D2" s="262"/>
      <c r="E2" s="262"/>
      <c r="F2" s="262"/>
      <c r="G2" s="262"/>
      <c r="H2" s="262"/>
    </row>
    <row r="3" spans="1:9">
      <c r="B3" s="262" t="s">
        <v>167</v>
      </c>
      <c r="C3" s="262"/>
      <c r="D3" s="262"/>
      <c r="E3" s="262"/>
      <c r="F3" s="262"/>
      <c r="G3" s="262"/>
      <c r="H3" s="262"/>
    </row>
    <row r="4" spans="1:9">
      <c r="B4" s="262" t="s">
        <v>174</v>
      </c>
      <c r="C4" s="262"/>
      <c r="D4" s="262"/>
      <c r="E4" s="262"/>
      <c r="F4" s="262"/>
      <c r="G4" s="262"/>
      <c r="H4" s="262"/>
    </row>
    <row r="5" spans="1:9" ht="19.5" customHeight="1">
      <c r="A5" s="137"/>
      <c r="B5" s="263" t="s">
        <v>175</v>
      </c>
      <c r="C5" s="263"/>
      <c r="D5" s="263"/>
      <c r="E5" s="263"/>
      <c r="F5" s="263"/>
      <c r="G5" s="263"/>
      <c r="H5" s="263"/>
    </row>
    <row r="6" spans="1:9" ht="20.25" customHeight="1">
      <c r="A6" s="137"/>
      <c r="B6" s="263"/>
      <c r="C6" s="263"/>
      <c r="D6" s="263"/>
      <c r="E6" s="263"/>
      <c r="F6" s="263"/>
      <c r="G6" s="263"/>
      <c r="H6" s="263"/>
    </row>
    <row r="7" spans="1:9" ht="8.25" customHeight="1"/>
    <row r="8" spans="1:9">
      <c r="B8" s="163" t="s">
        <v>0</v>
      </c>
      <c r="C8" s="174"/>
      <c r="D8" s="270" t="s">
        <v>72</v>
      </c>
      <c r="E8" s="270"/>
    </row>
    <row r="9" spans="1:9">
      <c r="B9" s="163" t="s">
        <v>1</v>
      </c>
      <c r="C9" s="174"/>
      <c r="D9" s="224">
        <v>1969</v>
      </c>
      <c r="E9" s="224"/>
    </row>
    <row r="10" spans="1:9" hidden="1" outlineLevel="1">
      <c r="B10" s="163" t="s">
        <v>2</v>
      </c>
      <c r="C10" s="174"/>
      <c r="D10" s="224">
        <v>4</v>
      </c>
      <c r="E10" s="224"/>
    </row>
    <row r="11" spans="1:9" hidden="1" outlineLevel="1">
      <c r="B11" s="163" t="s">
        <v>3</v>
      </c>
      <c r="C11" s="174"/>
      <c r="D11" s="224">
        <v>63</v>
      </c>
      <c r="E11" s="224"/>
    </row>
    <row r="12" spans="1:9" ht="30.75" hidden="1" customHeight="1" outlineLevel="1">
      <c r="B12" s="165" t="s">
        <v>4</v>
      </c>
      <c r="C12" s="175"/>
      <c r="D12" s="224" t="s">
        <v>73</v>
      </c>
      <c r="E12" s="224"/>
    </row>
    <row r="13" spans="1:9" collapsed="1">
      <c r="B13" s="163" t="s">
        <v>5</v>
      </c>
      <c r="C13" s="174"/>
      <c r="D13" s="224" t="s">
        <v>115</v>
      </c>
      <c r="E13" s="224"/>
      <c r="I13" s="5"/>
    </row>
    <row r="14" spans="1:9" hidden="1" outlineLevel="1">
      <c r="B14" s="1" t="s">
        <v>6</v>
      </c>
      <c r="D14" s="156" t="s">
        <v>7</v>
      </c>
      <c r="E14" s="156"/>
    </row>
    <row r="15" spans="1:9" ht="30.75" hidden="1" customHeight="1" outlineLevel="1">
      <c r="B15" s="15" t="s">
        <v>8</v>
      </c>
      <c r="C15" s="128"/>
      <c r="D15" s="225" t="s">
        <v>15</v>
      </c>
      <c r="E15" s="156"/>
      <c r="I15" s="5"/>
    </row>
    <row r="16" spans="1:9" ht="16.5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4" ht="48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4">
      <c r="B18" s="150" t="s">
        <v>11</v>
      </c>
      <c r="C18" s="275">
        <v>5622199.9000000004</v>
      </c>
      <c r="D18" s="276"/>
      <c r="E18" s="237">
        <v>3990464.0500000003</v>
      </c>
      <c r="F18" s="238"/>
      <c r="G18" s="237">
        <v>1631735.85</v>
      </c>
      <c r="H18" s="253"/>
      <c r="I18" s="5"/>
    </row>
    <row r="19" spans="2:14">
      <c r="B19" s="151" t="s">
        <v>12</v>
      </c>
      <c r="C19" s="239">
        <v>5154963.7699999996</v>
      </c>
      <c r="D19" s="277"/>
      <c r="E19" s="239">
        <v>3656301.7999999993</v>
      </c>
      <c r="F19" s="240"/>
      <c r="G19" s="239">
        <v>1498661.97</v>
      </c>
      <c r="H19" s="250"/>
      <c r="I19" s="5"/>
    </row>
    <row r="20" spans="2:14" ht="16.5" thickBot="1">
      <c r="B20" s="152" t="s">
        <v>88</v>
      </c>
      <c r="C20" s="278">
        <v>5267827.0722000003</v>
      </c>
      <c r="D20" s="279"/>
      <c r="E20" s="241">
        <v>4044449.0722000003</v>
      </c>
      <c r="F20" s="242"/>
      <c r="G20" s="241">
        <v>1223378</v>
      </c>
      <c r="H20" s="251"/>
      <c r="I20" s="5"/>
    </row>
    <row r="21" spans="2:14" ht="29.25" customHeight="1" thickBot="1">
      <c r="B21" s="153" t="s">
        <v>143</v>
      </c>
      <c r="C21" s="243">
        <f>E21+G21</f>
        <v>-112863.30220000097</v>
      </c>
      <c r="D21" s="244"/>
      <c r="E21" s="254">
        <f>E19-E20</f>
        <v>-388147.27220000094</v>
      </c>
      <c r="F21" s="255"/>
      <c r="G21" s="254">
        <f>G19-G20</f>
        <v>275283.96999999997</v>
      </c>
      <c r="H21" s="256"/>
      <c r="I21" s="5"/>
    </row>
    <row r="22" spans="2:14">
      <c r="B22" s="15"/>
      <c r="C22" s="128"/>
      <c r="D22" s="225"/>
      <c r="E22" s="156"/>
      <c r="I22" s="5"/>
    </row>
    <row r="23" spans="2:14" ht="30.75" customHeight="1" thickBot="1">
      <c r="B23" s="272" t="s">
        <v>176</v>
      </c>
      <c r="C23" s="272"/>
      <c r="D23" s="272"/>
      <c r="E23" s="272"/>
      <c r="F23" s="272"/>
      <c r="G23" s="272"/>
      <c r="H23" s="272"/>
      <c r="I23" s="139"/>
      <c r="J23" s="139"/>
      <c r="L23" s="5"/>
      <c r="M23" s="233" t="s">
        <v>145</v>
      </c>
      <c r="N23" s="233" t="s">
        <v>146</v>
      </c>
    </row>
    <row r="24" spans="2:14" ht="34.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I24" s="140"/>
      <c r="J24" s="140"/>
      <c r="L24" s="5"/>
      <c r="M24" s="234"/>
      <c r="N24" s="234"/>
    </row>
    <row r="25" spans="2:14" ht="42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I25" s="140"/>
      <c r="J25" s="140"/>
      <c r="M25" s="201">
        <v>447250.3</v>
      </c>
      <c r="N25" s="201">
        <f>M25</f>
        <v>447250.3</v>
      </c>
    </row>
    <row r="26" spans="2:14" ht="38.25">
      <c r="B26" s="19" t="s">
        <v>86</v>
      </c>
      <c r="C26" s="20" t="s">
        <v>97</v>
      </c>
      <c r="D26" s="21" t="s">
        <v>98</v>
      </c>
      <c r="E26" s="22">
        <v>1.82</v>
      </c>
      <c r="F26" s="23">
        <f>$M$25/$M$26*E26</f>
        <v>57323.630000000005</v>
      </c>
      <c r="G26" s="24">
        <f>$N$25/$N$26*E26</f>
        <v>57323.630000000005</v>
      </c>
      <c r="H26" s="25">
        <f>F26-G26</f>
        <v>0</v>
      </c>
      <c r="I26" s="141"/>
      <c r="J26" s="141"/>
      <c r="K26" s="220"/>
      <c r="L26" s="27"/>
      <c r="M26" s="203">
        <f>E35-E33</f>
        <v>14.2</v>
      </c>
      <c r="N26" s="203">
        <f>M26</f>
        <v>14.2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1.97</v>
      </c>
      <c r="F27" s="23">
        <f t="shared" ref="F27:F34" si="0">$M$25/$M$26*E27</f>
        <v>62048.104999999996</v>
      </c>
      <c r="G27" s="24">
        <f t="shared" ref="G27:G31" si="1">$N$25/$N$26*E27</f>
        <v>62048.104999999996</v>
      </c>
      <c r="H27" s="25">
        <f t="shared" ref="H27:H32" si="2">F27-G27</f>
        <v>0</v>
      </c>
      <c r="I27" s="141"/>
      <c r="J27" s="141"/>
      <c r="K27" s="2"/>
      <c r="L27" s="2"/>
      <c r="M27" s="180"/>
      <c r="N27" s="180"/>
    </row>
    <row r="28" spans="2:14" ht="36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10078.880000000001</v>
      </c>
      <c r="G28" s="24">
        <f t="shared" si="1"/>
        <v>10078.880000000001</v>
      </c>
      <c r="H28" s="25">
        <f t="shared" si="2"/>
        <v>0</v>
      </c>
      <c r="I28" s="141"/>
      <c r="J28" s="141"/>
      <c r="L28" s="5"/>
    </row>
    <row r="29" spans="2:14" ht="25.5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18267.969999999998</v>
      </c>
      <c r="G29" s="24">
        <f t="shared" si="1"/>
        <v>18267.969999999998</v>
      </c>
      <c r="H29" s="25">
        <f t="shared" si="2"/>
        <v>0</v>
      </c>
      <c r="I29" s="141"/>
      <c r="J29" s="141"/>
      <c r="L29" s="5"/>
    </row>
    <row r="30" spans="2:14" ht="51">
      <c r="B30" s="28" t="s">
        <v>87</v>
      </c>
      <c r="C30" s="20" t="s">
        <v>134</v>
      </c>
      <c r="D30" s="21" t="s">
        <v>98</v>
      </c>
      <c r="E30" s="29">
        <v>1.73</v>
      </c>
      <c r="F30" s="23">
        <f t="shared" si="0"/>
        <v>54488.945</v>
      </c>
      <c r="G30" s="24">
        <f t="shared" si="1"/>
        <v>54488.945</v>
      </c>
      <c r="H30" s="25">
        <f t="shared" si="2"/>
        <v>0</v>
      </c>
      <c r="I30" s="141"/>
      <c r="J30" s="141"/>
    </row>
    <row r="31" spans="2:14" ht="213.7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205987.11000000002</v>
      </c>
      <c r="G31" s="24">
        <f t="shared" si="1"/>
        <v>205987.11000000002</v>
      </c>
      <c r="H31" s="25">
        <f t="shared" si="2"/>
        <v>0</v>
      </c>
      <c r="I31" s="141"/>
      <c r="J31" s="141"/>
      <c r="K31" s="2"/>
      <c r="L31" s="4"/>
      <c r="M31" s="180"/>
      <c r="N31" s="180"/>
    </row>
    <row r="32" spans="2:14" ht="102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8819.02</v>
      </c>
      <c r="G32" s="24">
        <f t="shared" ref="G32" si="3">$N$25/$N$26*E32</f>
        <v>8819.02</v>
      </c>
      <c r="H32" s="25">
        <f t="shared" si="2"/>
        <v>0</v>
      </c>
      <c r="I32" s="141"/>
      <c r="J32" s="141"/>
    </row>
    <row r="33" spans="2:14" ht="36">
      <c r="B33" s="32" t="s">
        <v>91</v>
      </c>
      <c r="C33" s="20" t="s">
        <v>97</v>
      </c>
      <c r="D33" s="21" t="s">
        <v>98</v>
      </c>
      <c r="E33" s="29">
        <v>5.3</v>
      </c>
      <c r="F33" s="23">
        <v>166931.45000000001</v>
      </c>
      <c r="G33" s="30">
        <v>196247</v>
      </c>
      <c r="H33" s="25">
        <f>F33-G33</f>
        <v>-29315.549999999988</v>
      </c>
      <c r="I33" s="141"/>
      <c r="J33" s="141"/>
      <c r="L33" s="5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0.96</v>
      </c>
      <c r="F34" s="23">
        <f t="shared" si="0"/>
        <v>30236.639999999999</v>
      </c>
      <c r="G34" s="24">
        <f t="shared" ref="G34" si="4">$N$25/$N$26*E34</f>
        <v>30236.639999999999</v>
      </c>
      <c r="H34" s="25">
        <f>F34-G34</f>
        <v>0</v>
      </c>
      <c r="I34" s="141"/>
      <c r="J34" s="141"/>
    </row>
    <row r="35" spans="2:14" ht="16.5" thickBot="1">
      <c r="B35" s="39" t="s">
        <v>89</v>
      </c>
      <c r="C35" s="40"/>
      <c r="D35" s="40"/>
      <c r="E35" s="41">
        <f>SUM(E26:E34)</f>
        <v>19.5</v>
      </c>
      <c r="F35" s="42">
        <f>SUM(F26:F34)</f>
        <v>614181.75000000012</v>
      </c>
      <c r="G35" s="43">
        <f>SUM(G26:G34)</f>
        <v>643497.30000000005</v>
      </c>
      <c r="H35" s="44">
        <f>SUM(H26:H34)</f>
        <v>-29315.549999999988</v>
      </c>
      <c r="I35" s="142"/>
      <c r="J35" s="142"/>
    </row>
    <row r="36" spans="2:14">
      <c r="B36" s="5"/>
      <c r="C36" s="5"/>
      <c r="D36" s="5"/>
      <c r="E36" s="14"/>
      <c r="F36" s="14"/>
      <c r="G36" s="14"/>
      <c r="H36" s="3"/>
      <c r="I36" s="3"/>
      <c r="J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143"/>
      <c r="J37" s="143"/>
    </row>
    <row r="38" spans="2:14" ht="40.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57"/>
      <c r="J38" s="158"/>
      <c r="K38" s="46"/>
      <c r="L38" s="47"/>
      <c r="M38" s="181"/>
      <c r="N38" s="181"/>
    </row>
    <row r="39" spans="2:14">
      <c r="B39" s="150" t="s">
        <v>11</v>
      </c>
      <c r="C39" s="237">
        <f>E39+G39</f>
        <v>6236381.6500000004</v>
      </c>
      <c r="D39" s="238"/>
      <c r="E39" s="237">
        <f>F26+F27+F28+F29+F30+F31+F32+F34+E18</f>
        <v>4437714.3500000006</v>
      </c>
      <c r="F39" s="238"/>
      <c r="G39" s="237">
        <f>F33+G18</f>
        <v>1798667.3</v>
      </c>
      <c r="H39" s="253"/>
      <c r="I39" s="159"/>
      <c r="J39" s="160"/>
      <c r="K39" s="49"/>
      <c r="L39" s="49"/>
      <c r="M39" s="204"/>
    </row>
    <row r="40" spans="2:14">
      <c r="B40" s="151" t="s">
        <v>12</v>
      </c>
      <c r="C40" s="239">
        <f>E40+G40</f>
        <v>5694469.5999999996</v>
      </c>
      <c r="D40" s="240"/>
      <c r="E40" s="239">
        <f>E19+390206.48</f>
        <v>4046508.2799999993</v>
      </c>
      <c r="F40" s="240"/>
      <c r="G40" s="239">
        <f>G19+149299.35</f>
        <v>1647961.32</v>
      </c>
      <c r="H40" s="250"/>
      <c r="I40" s="159"/>
      <c r="J40" s="161"/>
      <c r="K40" s="51"/>
      <c r="L40" s="49"/>
      <c r="M40" s="204"/>
    </row>
    <row r="41" spans="2:14" ht="16.5" thickBot="1">
      <c r="B41" s="152" t="s">
        <v>88</v>
      </c>
      <c r="C41" s="241">
        <f>E41+G41</f>
        <v>5911324.3722000001</v>
      </c>
      <c r="D41" s="242"/>
      <c r="E41" s="241">
        <f>G26+G27+G28+G29+G30+G31+G32+G34+E20</f>
        <v>4491699.3722000001</v>
      </c>
      <c r="F41" s="242"/>
      <c r="G41" s="241">
        <f>G33+G20</f>
        <v>1419625</v>
      </c>
      <c r="H41" s="251"/>
      <c r="I41" s="159"/>
      <c r="J41" s="48"/>
      <c r="K41" s="33"/>
      <c r="L41" s="33"/>
    </row>
    <row r="42" spans="2:14" ht="29.25" customHeight="1" thickBot="1">
      <c r="B42" s="153" t="s">
        <v>144</v>
      </c>
      <c r="C42" s="243">
        <f>E42+G42</f>
        <v>-216854.77220000071</v>
      </c>
      <c r="D42" s="244"/>
      <c r="E42" s="254">
        <f>E40-E41</f>
        <v>-445191.09220000077</v>
      </c>
      <c r="F42" s="255"/>
      <c r="G42" s="254">
        <f>G40-G41</f>
        <v>228336.32000000007</v>
      </c>
      <c r="H42" s="256"/>
      <c r="I42" s="162"/>
      <c r="J42" s="147"/>
      <c r="K42" s="33"/>
      <c r="L42" s="33"/>
    </row>
    <row r="43" spans="2:14" ht="15.75" customHeight="1">
      <c r="B43" s="76"/>
      <c r="C43" s="145"/>
      <c r="D43" s="145"/>
      <c r="E43" s="147"/>
      <c r="F43" s="147"/>
      <c r="G43" s="147"/>
      <c r="H43" s="147"/>
      <c r="I43" s="222"/>
      <c r="J43" s="222"/>
      <c r="K43" s="2"/>
      <c r="L43" s="2"/>
      <c r="M43" s="180"/>
      <c r="N43" s="180"/>
    </row>
    <row r="44" spans="2:14" ht="18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223"/>
      <c r="J44" s="223"/>
      <c r="K44" s="2"/>
      <c r="L44" s="2"/>
      <c r="M44" s="180"/>
      <c r="N44" s="180"/>
    </row>
    <row r="45" spans="2:14" ht="9.75" customHeight="1">
      <c r="B45" s="52"/>
      <c r="C45" s="53"/>
      <c r="D45" s="53"/>
      <c r="E45" s="227"/>
      <c r="F45" s="259"/>
      <c r="G45" s="259"/>
      <c r="H45" s="52"/>
      <c r="I45" s="222"/>
      <c r="J45" s="222"/>
      <c r="K45" s="2"/>
      <c r="L45" s="2"/>
      <c r="M45" s="180"/>
      <c r="N45" s="180"/>
    </row>
    <row r="46" spans="2:14" ht="1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222"/>
      <c r="J46" s="222"/>
    </row>
    <row r="47" spans="2:14" ht="9.75" customHeight="1">
      <c r="B47" s="52"/>
      <c r="C47" s="53"/>
      <c r="D47" s="53"/>
      <c r="E47" s="227"/>
      <c r="F47" s="258"/>
      <c r="G47" s="258"/>
      <c r="H47" s="52"/>
      <c r="I47" s="222"/>
      <c r="J47" s="222"/>
    </row>
    <row r="48" spans="2:14" ht="15.7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56"/>
      <c r="J48" s="56"/>
    </row>
    <row r="49" spans="2:8" ht="9" customHeight="1">
      <c r="B49" s="54"/>
      <c r="C49" s="55"/>
      <c r="D49" s="55"/>
      <c r="E49" s="227"/>
      <c r="F49" s="183"/>
      <c r="G49" s="54"/>
      <c r="H49" s="56"/>
    </row>
    <row r="50" spans="2:8" ht="14.2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</row>
    <row r="51" spans="2:8">
      <c r="C51" s="14"/>
      <c r="E51" s="221"/>
    </row>
    <row r="52" spans="2:8">
      <c r="C52" s="14"/>
    </row>
    <row r="53" spans="2:8">
      <c r="C53" s="14"/>
    </row>
    <row r="54" spans="2:8">
      <c r="C54" s="14"/>
    </row>
    <row r="55" spans="2:8">
      <c r="C55" s="14"/>
    </row>
    <row r="56" spans="2:8">
      <c r="C56" s="14"/>
    </row>
    <row r="57" spans="2:8">
      <c r="C57" s="14"/>
    </row>
  </sheetData>
  <mergeCells count="57">
    <mergeCell ref="B1:H1"/>
    <mergeCell ref="E42:F42"/>
    <mergeCell ref="B5:H6"/>
    <mergeCell ref="G42:H42"/>
    <mergeCell ref="F44:G44"/>
    <mergeCell ref="G39:H39"/>
    <mergeCell ref="E41:F41"/>
    <mergeCell ref="F24:G24"/>
    <mergeCell ref="B16:H16"/>
    <mergeCell ref="C17:D17"/>
    <mergeCell ref="E39:F39"/>
    <mergeCell ref="E40:F40"/>
    <mergeCell ref="E17:F17"/>
    <mergeCell ref="G17:H17"/>
    <mergeCell ref="C18:D18"/>
    <mergeCell ref="E18:F18"/>
    <mergeCell ref="G41:H41"/>
    <mergeCell ref="B2:H2"/>
    <mergeCell ref="B3:H3"/>
    <mergeCell ref="B4:H4"/>
    <mergeCell ref="G40:H40"/>
    <mergeCell ref="D8:E8"/>
    <mergeCell ref="B37:H37"/>
    <mergeCell ref="E38:F38"/>
    <mergeCell ref="G38:H38"/>
    <mergeCell ref="B23:H23"/>
    <mergeCell ref="B24:B25"/>
    <mergeCell ref="C24:C25"/>
    <mergeCell ref="D24:D25"/>
    <mergeCell ref="E24:E25"/>
    <mergeCell ref="H24:H25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M23:M24"/>
    <mergeCell ref="N23:N24"/>
    <mergeCell ref="C38:D38"/>
    <mergeCell ref="C39:D39"/>
    <mergeCell ref="C40:D40"/>
    <mergeCell ref="C41:D41"/>
    <mergeCell ref="C42:D42"/>
    <mergeCell ref="C44:E44"/>
    <mergeCell ref="C46:E46"/>
    <mergeCell ref="C48:E48"/>
    <mergeCell ref="F48:G48"/>
    <mergeCell ref="C50:E50"/>
    <mergeCell ref="F50:G50"/>
    <mergeCell ref="F46:G46"/>
    <mergeCell ref="F47:G47"/>
    <mergeCell ref="F45:G45"/>
  </mergeCells>
  <printOptions horizontalCentered="1"/>
  <pageMargins left="0.23622047244094491" right="0.19685039370078741" top="0.16" bottom="0.23622047244094491" header="0.16" footer="0.24"/>
  <pageSetup paperSize="9" scale="4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tabColor rgb="FF0070C0"/>
    <pageSetUpPr fitToPage="1"/>
  </sheetPr>
  <dimension ref="A1:N51"/>
  <sheetViews>
    <sheetView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6.42578125" style="1" customWidth="1"/>
    <col min="3" max="3" width="15.140625" style="14" customWidth="1"/>
    <col min="4" max="4" width="8.42578125" style="3" customWidth="1"/>
    <col min="5" max="5" width="10.5703125" style="3" customWidth="1"/>
    <col min="6" max="6" width="9.7109375" style="1" customWidth="1"/>
    <col min="7" max="7" width="10.28515625" style="1" customWidth="1"/>
    <col min="8" max="8" width="10.85546875" style="1" customWidth="1"/>
    <col min="9" max="9" width="17.7109375" style="1" customWidth="1"/>
    <col min="10" max="10" width="16.85546875" style="1" customWidth="1"/>
    <col min="11" max="11" width="9.140625" style="78"/>
    <col min="12" max="12" width="11.42578125" style="78" customWidth="1"/>
    <col min="13" max="13" width="14" style="179" customWidth="1"/>
    <col min="14" max="14" width="16" style="179" customWidth="1"/>
    <col min="15" max="16384" width="9.140625" style="1"/>
  </cols>
  <sheetData>
    <row r="1" spans="1:9">
      <c r="B1" s="262" t="s">
        <v>119</v>
      </c>
      <c r="C1" s="262"/>
      <c r="D1" s="262"/>
      <c r="E1" s="262"/>
      <c r="F1" s="262"/>
      <c r="G1" s="262"/>
      <c r="H1" s="262"/>
    </row>
    <row r="2" spans="1:9">
      <c r="B2" s="262" t="s">
        <v>120</v>
      </c>
      <c r="C2" s="262"/>
      <c r="D2" s="262"/>
      <c r="E2" s="262"/>
      <c r="F2" s="262"/>
      <c r="G2" s="262"/>
      <c r="H2" s="262"/>
    </row>
    <row r="3" spans="1:9">
      <c r="B3" s="262" t="s">
        <v>168</v>
      </c>
      <c r="C3" s="262"/>
      <c r="D3" s="262"/>
      <c r="E3" s="262"/>
      <c r="F3" s="262"/>
      <c r="G3" s="262"/>
      <c r="H3" s="262"/>
    </row>
    <row r="4" spans="1:9">
      <c r="B4" s="262" t="s">
        <v>174</v>
      </c>
      <c r="C4" s="262"/>
      <c r="D4" s="262"/>
      <c r="E4" s="262"/>
      <c r="F4" s="262"/>
      <c r="G4" s="262"/>
      <c r="H4" s="262"/>
    </row>
    <row r="5" spans="1:9" ht="19.5" customHeight="1">
      <c r="A5" s="137"/>
      <c r="B5" s="263" t="s">
        <v>175</v>
      </c>
      <c r="C5" s="263"/>
      <c r="D5" s="263"/>
      <c r="E5" s="263"/>
      <c r="F5" s="263"/>
      <c r="G5" s="263"/>
      <c r="H5" s="263"/>
    </row>
    <row r="6" spans="1:9" ht="20.25" customHeight="1">
      <c r="A6" s="137"/>
      <c r="B6" s="263"/>
      <c r="C6" s="263"/>
      <c r="D6" s="263"/>
      <c r="E6" s="263"/>
      <c r="F6" s="263"/>
      <c r="G6" s="263"/>
      <c r="H6" s="263"/>
    </row>
    <row r="7" spans="1:9" ht="8.25" customHeight="1"/>
    <row r="8" spans="1:9">
      <c r="B8" s="163" t="s">
        <v>0</v>
      </c>
      <c r="C8" s="164"/>
      <c r="D8" s="270" t="s">
        <v>74</v>
      </c>
      <c r="E8" s="270"/>
      <c r="F8" s="163"/>
    </row>
    <row r="9" spans="1:9">
      <c r="B9" s="163" t="s">
        <v>1</v>
      </c>
      <c r="C9" s="164"/>
      <c r="D9" s="224">
        <v>1967</v>
      </c>
      <c r="E9" s="224"/>
      <c r="F9" s="163"/>
    </row>
    <row r="10" spans="1:9" hidden="1" outlineLevel="1">
      <c r="B10" s="163" t="s">
        <v>2</v>
      </c>
      <c r="C10" s="164"/>
      <c r="D10" s="224">
        <v>4</v>
      </c>
      <c r="E10" s="224"/>
      <c r="F10" s="163"/>
    </row>
    <row r="11" spans="1:9" hidden="1" outlineLevel="1">
      <c r="B11" s="163" t="s">
        <v>3</v>
      </c>
      <c r="C11" s="164"/>
      <c r="D11" s="224">
        <v>60</v>
      </c>
      <c r="E11" s="224"/>
      <c r="F11" s="163"/>
    </row>
    <row r="12" spans="1:9" ht="30.75" hidden="1" customHeight="1" outlineLevel="1">
      <c r="B12" s="165" t="s">
        <v>4</v>
      </c>
      <c r="C12" s="166"/>
      <c r="D12" s="224" t="s">
        <v>75</v>
      </c>
      <c r="E12" s="224"/>
      <c r="F12" s="163"/>
    </row>
    <row r="13" spans="1:9" collapsed="1">
      <c r="B13" s="163" t="s">
        <v>5</v>
      </c>
      <c r="C13" s="164"/>
      <c r="D13" s="224" t="s">
        <v>130</v>
      </c>
      <c r="E13" s="224"/>
      <c r="F13" s="163"/>
      <c r="I13" s="5"/>
    </row>
    <row r="14" spans="1:9">
      <c r="B14" s="163" t="s">
        <v>6</v>
      </c>
      <c r="C14" s="164"/>
      <c r="D14" s="224" t="s">
        <v>131</v>
      </c>
      <c r="E14" s="224"/>
      <c r="F14" s="163"/>
    </row>
    <row r="15" spans="1:9" ht="30.75" hidden="1" customHeight="1" outlineLevel="1">
      <c r="B15" s="15" t="s">
        <v>8</v>
      </c>
      <c r="C15" s="16"/>
      <c r="D15" s="225" t="s">
        <v>76</v>
      </c>
      <c r="E15" s="156"/>
      <c r="I15" s="5"/>
    </row>
    <row r="16" spans="1:9" ht="16.5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4" ht="45.7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4">
      <c r="B18" s="150" t="s">
        <v>11</v>
      </c>
      <c r="C18" s="275">
        <v>5268606.1108813565</v>
      </c>
      <c r="D18" s="276"/>
      <c r="E18" s="237">
        <v>3632306.9170707073</v>
      </c>
      <c r="F18" s="238"/>
      <c r="G18" s="237">
        <v>1636299.193810649</v>
      </c>
      <c r="H18" s="253"/>
      <c r="I18" s="5"/>
    </row>
    <row r="19" spans="2:14">
      <c r="B19" s="151" t="s">
        <v>12</v>
      </c>
      <c r="C19" s="239">
        <v>4659981.6031864407</v>
      </c>
      <c r="D19" s="277"/>
      <c r="E19" s="239">
        <v>3216437.5677915886</v>
      </c>
      <c r="F19" s="240"/>
      <c r="G19" s="239">
        <v>1443544.0353948523</v>
      </c>
      <c r="H19" s="250"/>
      <c r="I19" s="5"/>
    </row>
    <row r="20" spans="2:14" ht="16.5" thickBot="1">
      <c r="B20" s="152" t="s">
        <v>88</v>
      </c>
      <c r="C20" s="278">
        <v>5229554.3380000005</v>
      </c>
      <c r="D20" s="279"/>
      <c r="E20" s="241">
        <v>3663507.3380000005</v>
      </c>
      <c r="F20" s="242"/>
      <c r="G20" s="241">
        <v>1566047</v>
      </c>
      <c r="H20" s="251"/>
      <c r="I20" s="5"/>
    </row>
    <row r="21" spans="2:14" ht="33" customHeight="1" thickBot="1">
      <c r="B21" s="153" t="s">
        <v>143</v>
      </c>
      <c r="C21" s="243">
        <f>E21+G21</f>
        <v>-569572.73481355957</v>
      </c>
      <c r="D21" s="244"/>
      <c r="E21" s="254">
        <f>E19-E20</f>
        <v>-447069.77020841185</v>
      </c>
      <c r="F21" s="255"/>
      <c r="G21" s="254">
        <f>G19-G20</f>
        <v>-122502.96460514772</v>
      </c>
      <c r="H21" s="256"/>
      <c r="I21" s="5"/>
    </row>
    <row r="22" spans="2:14">
      <c r="B22" s="15"/>
      <c r="C22" s="16"/>
      <c r="D22" s="225"/>
      <c r="E22" s="156"/>
      <c r="I22" s="5"/>
    </row>
    <row r="23" spans="2:14" ht="35.25" customHeight="1" thickBot="1">
      <c r="B23" s="272" t="s">
        <v>176</v>
      </c>
      <c r="C23" s="272"/>
      <c r="D23" s="272"/>
      <c r="E23" s="272"/>
      <c r="F23" s="272"/>
      <c r="G23" s="272"/>
      <c r="H23" s="272"/>
      <c r="I23" s="139"/>
      <c r="J23" s="139"/>
      <c r="L23" s="84"/>
      <c r="M23" s="233" t="s">
        <v>145</v>
      </c>
      <c r="N23" s="233" t="s">
        <v>146</v>
      </c>
    </row>
    <row r="24" spans="2:14" ht="31.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I24" s="140"/>
      <c r="J24" s="140"/>
      <c r="L24" s="84"/>
      <c r="M24" s="234"/>
      <c r="N24" s="234"/>
    </row>
    <row r="25" spans="2:14" ht="63.7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I25" s="140"/>
      <c r="J25" s="140"/>
      <c r="M25" s="203">
        <v>416279.4</v>
      </c>
      <c r="N25" s="203">
        <f>M25</f>
        <v>416279.4</v>
      </c>
    </row>
    <row r="26" spans="2:14" ht="40.5" customHeight="1">
      <c r="B26" s="19" t="s">
        <v>86</v>
      </c>
      <c r="C26" s="20" t="s">
        <v>97</v>
      </c>
      <c r="D26" s="21" t="s">
        <v>98</v>
      </c>
      <c r="E26" s="22">
        <v>1.6</v>
      </c>
      <c r="F26" s="23">
        <f>$M$25/$M$26*E26</f>
        <v>47745.307526881727</v>
      </c>
      <c r="G26" s="24">
        <f>$N$25/$N$26*E26</f>
        <v>47745.307526881727</v>
      </c>
      <c r="H26" s="25">
        <f>F26-G26</f>
        <v>0</v>
      </c>
      <c r="I26" s="26"/>
      <c r="J26" s="141"/>
      <c r="K26" s="92"/>
      <c r="L26" s="93"/>
      <c r="M26" s="203">
        <f>E35-E33</f>
        <v>13.95</v>
      </c>
      <c r="N26" s="203">
        <f>M26</f>
        <v>13.95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1.8</v>
      </c>
      <c r="F27" s="23">
        <f t="shared" ref="F27:F34" si="0">$M$25/$M$26*E27</f>
        <v>53713.470967741945</v>
      </c>
      <c r="G27" s="24">
        <f t="shared" ref="G27:G32" si="1">$N$25/$N$26*E27</f>
        <v>53713.470967741945</v>
      </c>
      <c r="H27" s="25">
        <f t="shared" ref="H27:H32" si="2">F27-G27</f>
        <v>0</v>
      </c>
      <c r="I27" s="141"/>
      <c r="J27" s="141"/>
      <c r="K27" s="97"/>
      <c r="L27" s="121"/>
      <c r="M27" s="204"/>
      <c r="N27" s="204"/>
    </row>
    <row r="28" spans="2:14" ht="30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9549.0615053763449</v>
      </c>
      <c r="G28" s="24">
        <f t="shared" si="1"/>
        <v>9549.0615053763449</v>
      </c>
      <c r="H28" s="25">
        <f t="shared" si="2"/>
        <v>0</v>
      </c>
      <c r="I28" s="141"/>
      <c r="J28" s="141"/>
      <c r="L28" s="121"/>
      <c r="M28" s="205"/>
      <c r="N28" s="205"/>
    </row>
    <row r="29" spans="2:14" ht="25.5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17307.673978494626</v>
      </c>
      <c r="G29" s="24">
        <f t="shared" si="1"/>
        <v>17307.673978494626</v>
      </c>
      <c r="H29" s="25">
        <f t="shared" si="2"/>
        <v>0</v>
      </c>
      <c r="I29" s="141"/>
      <c r="J29" s="141"/>
      <c r="L29" s="191"/>
      <c r="M29" s="204"/>
      <c r="N29" s="204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41180.327741935485</v>
      </c>
      <c r="G30" s="24">
        <f t="shared" si="1"/>
        <v>41180.327741935485</v>
      </c>
      <c r="H30" s="25">
        <f t="shared" si="2"/>
        <v>0</v>
      </c>
      <c r="I30" s="141"/>
      <c r="J30" s="141"/>
    </row>
    <row r="31" spans="2:14" ht="216.7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195158.94451612906</v>
      </c>
      <c r="G31" s="24">
        <f t="shared" si="1"/>
        <v>195158.94451612906</v>
      </c>
      <c r="H31" s="25">
        <f t="shared" si="2"/>
        <v>0</v>
      </c>
      <c r="I31" s="141"/>
      <c r="J31" s="141"/>
      <c r="K31" s="97"/>
      <c r="L31" s="98"/>
      <c r="M31" s="180"/>
      <c r="N31" s="180"/>
    </row>
    <row r="32" spans="2:14" ht="108.7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8355.4288172043034</v>
      </c>
      <c r="G32" s="24">
        <f t="shared" si="1"/>
        <v>8355.4288172043034</v>
      </c>
      <c r="H32" s="25">
        <f t="shared" si="2"/>
        <v>0</v>
      </c>
      <c r="I32" s="141"/>
      <c r="J32" s="141"/>
    </row>
    <row r="33" spans="2:14" ht="27.75" customHeight="1">
      <c r="B33" s="32" t="s">
        <v>91</v>
      </c>
      <c r="C33" s="20" t="s">
        <v>97</v>
      </c>
      <c r="D33" s="21" t="s">
        <v>98</v>
      </c>
      <c r="E33" s="29">
        <v>5.7</v>
      </c>
      <c r="F33" s="23">
        <v>170136.1</v>
      </c>
      <c r="G33" s="30">
        <v>25285</v>
      </c>
      <c r="H33" s="25">
        <f>F33-G33</f>
        <v>144851.1</v>
      </c>
      <c r="I33" s="141"/>
      <c r="J33" s="141"/>
      <c r="L33" s="84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1.45</v>
      </c>
      <c r="F34" s="23">
        <f t="shared" si="0"/>
        <v>43269.184946236564</v>
      </c>
      <c r="G34" s="24">
        <f t="shared" ref="G34" si="3">$N$25/$N$26*E34</f>
        <v>43269.184946236564</v>
      </c>
      <c r="H34" s="25">
        <f>F34-G34</f>
        <v>0</v>
      </c>
      <c r="I34" s="141"/>
      <c r="J34" s="141"/>
    </row>
    <row r="35" spans="2:14" ht="16.5" thickBot="1">
      <c r="B35" s="39" t="s">
        <v>89</v>
      </c>
      <c r="C35" s="40"/>
      <c r="D35" s="40"/>
      <c r="E35" s="41">
        <f>SUM(E26:E34)</f>
        <v>19.649999999999999</v>
      </c>
      <c r="F35" s="42">
        <f>SUM(F26:F34)</f>
        <v>586415.5</v>
      </c>
      <c r="G35" s="43">
        <f>SUM(G26:G34)</f>
        <v>441564.4</v>
      </c>
      <c r="H35" s="44">
        <f>SUM(H26:H34)</f>
        <v>144851.1</v>
      </c>
      <c r="I35" s="142"/>
      <c r="J35" s="142"/>
    </row>
    <row r="36" spans="2:14">
      <c r="B36" s="5"/>
      <c r="C36" s="5"/>
      <c r="D36" s="5"/>
      <c r="E36" s="14"/>
      <c r="F36" s="14"/>
      <c r="G36" s="14"/>
      <c r="H36" s="3"/>
      <c r="I36" s="3"/>
      <c r="J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143"/>
      <c r="J37" s="143"/>
    </row>
    <row r="38" spans="2:14" ht="44.2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57"/>
      <c r="J38" s="158"/>
      <c r="K38" s="193"/>
      <c r="L38" s="117"/>
      <c r="M38" s="181"/>
      <c r="N38" s="181"/>
    </row>
    <row r="39" spans="2:14">
      <c r="B39" s="150" t="s">
        <v>11</v>
      </c>
      <c r="C39" s="237">
        <f>E39+G39</f>
        <v>5855021.6108813565</v>
      </c>
      <c r="D39" s="238"/>
      <c r="E39" s="237">
        <f>F26+F27+F28+F29+F30+F31+F32+F34+E18</f>
        <v>4048586.3170707072</v>
      </c>
      <c r="F39" s="238"/>
      <c r="G39" s="237">
        <f>F33+G18</f>
        <v>1806435.2938106491</v>
      </c>
      <c r="H39" s="253"/>
      <c r="I39" s="159"/>
      <c r="J39" s="160"/>
      <c r="K39" s="120"/>
      <c r="L39" s="120"/>
      <c r="M39" s="204"/>
    </row>
    <row r="40" spans="2:14">
      <c r="B40" s="151" t="s">
        <v>12</v>
      </c>
      <c r="C40" s="239">
        <f>E40+G40</f>
        <v>5211483.3231864404</v>
      </c>
      <c r="D40" s="240"/>
      <c r="E40" s="239">
        <f>E19+387054.94</f>
        <v>3603492.5077915885</v>
      </c>
      <c r="F40" s="240"/>
      <c r="G40" s="239">
        <f>G19+164446.78</f>
        <v>1607990.8153948523</v>
      </c>
      <c r="H40" s="250"/>
      <c r="I40" s="159"/>
      <c r="J40" s="161"/>
      <c r="K40" s="194"/>
      <c r="L40" s="120"/>
      <c r="M40" s="204"/>
    </row>
    <row r="41" spans="2:14" ht="16.5" thickBot="1">
      <c r="B41" s="152" t="s">
        <v>88</v>
      </c>
      <c r="C41" s="241">
        <f>E41+G41</f>
        <v>5671118.7379999999</v>
      </c>
      <c r="D41" s="242"/>
      <c r="E41" s="241">
        <f>G26+G27+G28+G29+G30+G31+G32+G34+E20</f>
        <v>4079786.7380000004</v>
      </c>
      <c r="F41" s="242"/>
      <c r="G41" s="241">
        <f>G33+G20</f>
        <v>1591332</v>
      </c>
      <c r="H41" s="251"/>
      <c r="I41" s="159"/>
      <c r="J41" s="48"/>
      <c r="K41" s="100"/>
      <c r="L41" s="100"/>
    </row>
    <row r="42" spans="2:14" ht="29.25" customHeight="1" thickBot="1">
      <c r="B42" s="153" t="s">
        <v>144</v>
      </c>
      <c r="C42" s="243">
        <f>E42+G42</f>
        <v>-459635.4148135595</v>
      </c>
      <c r="D42" s="244"/>
      <c r="E42" s="254">
        <f>E40-E41</f>
        <v>-476294.23020841181</v>
      </c>
      <c r="F42" s="255"/>
      <c r="G42" s="254">
        <f>G40-G41</f>
        <v>16658.81539485231</v>
      </c>
      <c r="H42" s="256"/>
      <c r="I42" s="162"/>
      <c r="J42" s="147"/>
      <c r="K42" s="100"/>
      <c r="L42" s="100"/>
    </row>
    <row r="43" spans="2:14" ht="18" customHeight="1">
      <c r="B43" s="76"/>
      <c r="C43" s="145"/>
      <c r="D43" s="145"/>
      <c r="E43" s="147"/>
      <c r="F43" s="147"/>
      <c r="G43" s="147"/>
      <c r="H43" s="147"/>
      <c r="I43" s="222"/>
      <c r="J43" s="222"/>
      <c r="K43" s="97"/>
      <c r="L43" s="97"/>
      <c r="M43" s="180"/>
      <c r="N43" s="180"/>
    </row>
    <row r="44" spans="2:14" ht="1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223"/>
      <c r="J44" s="223"/>
      <c r="K44" s="97"/>
      <c r="L44" s="97"/>
      <c r="M44" s="180"/>
      <c r="N44" s="180"/>
    </row>
    <row r="45" spans="2:14" ht="11.25" customHeight="1">
      <c r="B45" s="52"/>
      <c r="C45" s="53"/>
      <c r="D45" s="53"/>
      <c r="E45" s="227"/>
      <c r="F45" s="259"/>
      <c r="G45" s="259"/>
      <c r="H45" s="52"/>
      <c r="I45" s="222"/>
      <c r="J45" s="222"/>
      <c r="K45" s="97"/>
      <c r="L45" s="97"/>
      <c r="M45" s="180"/>
      <c r="N45" s="180"/>
    </row>
    <row r="46" spans="2:14" ht="14.2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222"/>
      <c r="J46" s="222"/>
    </row>
    <row r="47" spans="2:14" ht="9.75" customHeight="1">
      <c r="B47" s="52"/>
      <c r="C47" s="53"/>
      <c r="D47" s="53"/>
      <c r="E47" s="227"/>
      <c r="F47" s="258"/>
      <c r="G47" s="258"/>
      <c r="H47" s="52"/>
      <c r="I47" s="222"/>
      <c r="J47" s="222"/>
    </row>
    <row r="48" spans="2:14" ht="13.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56"/>
      <c r="J48" s="56"/>
    </row>
    <row r="49" spans="2:8" ht="9" customHeight="1">
      <c r="B49" s="54"/>
      <c r="C49" s="55"/>
      <c r="D49" s="55"/>
      <c r="E49" s="227"/>
      <c r="F49" s="183"/>
      <c r="G49" s="54"/>
      <c r="H49" s="56"/>
    </row>
    <row r="50" spans="2:8" ht="14.2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</row>
    <row r="51" spans="2:8">
      <c r="E51" s="221"/>
    </row>
  </sheetData>
  <mergeCells count="57">
    <mergeCell ref="B2:H2"/>
    <mergeCell ref="B3:H3"/>
    <mergeCell ref="B4:H4"/>
    <mergeCell ref="B1:H1"/>
    <mergeCell ref="G41:H41"/>
    <mergeCell ref="B37:H37"/>
    <mergeCell ref="D8:E8"/>
    <mergeCell ref="B23:H23"/>
    <mergeCell ref="B24:B25"/>
    <mergeCell ref="C24:C25"/>
    <mergeCell ref="B5:H6"/>
    <mergeCell ref="F24:G24"/>
    <mergeCell ref="H24:H25"/>
    <mergeCell ref="D24:D25"/>
    <mergeCell ref="E24:E25"/>
    <mergeCell ref="B16:H16"/>
    <mergeCell ref="F44:G44"/>
    <mergeCell ref="E41:F41"/>
    <mergeCell ref="E38:F38"/>
    <mergeCell ref="G38:H38"/>
    <mergeCell ref="E39:F39"/>
    <mergeCell ref="G39:H39"/>
    <mergeCell ref="G40:H40"/>
    <mergeCell ref="E40:F40"/>
    <mergeCell ref="C44:E44"/>
    <mergeCell ref="G42:H42"/>
    <mergeCell ref="C38:D38"/>
    <mergeCell ref="C42:D42"/>
    <mergeCell ref="C17:D17"/>
    <mergeCell ref="E17:F17"/>
    <mergeCell ref="G17:H17"/>
    <mergeCell ref="C18:D18"/>
    <mergeCell ref="E18:F18"/>
    <mergeCell ref="G18:H18"/>
    <mergeCell ref="N23:N24"/>
    <mergeCell ref="C19:D19"/>
    <mergeCell ref="E19:F19"/>
    <mergeCell ref="G19:H19"/>
    <mergeCell ref="C20:D20"/>
    <mergeCell ref="E20:F20"/>
    <mergeCell ref="G20:H20"/>
    <mergeCell ref="C50:E50"/>
    <mergeCell ref="C21:D21"/>
    <mergeCell ref="E21:F21"/>
    <mergeCell ref="G21:H21"/>
    <mergeCell ref="M23:M24"/>
    <mergeCell ref="E42:F42"/>
    <mergeCell ref="F50:G50"/>
    <mergeCell ref="F46:G46"/>
    <mergeCell ref="F47:G47"/>
    <mergeCell ref="C46:E46"/>
    <mergeCell ref="C48:E48"/>
    <mergeCell ref="F48:G48"/>
    <mergeCell ref="F45:G45"/>
    <mergeCell ref="C39:D39"/>
    <mergeCell ref="C40:D40"/>
    <mergeCell ref="C41:D41"/>
  </mergeCells>
  <printOptions horizontalCentered="1"/>
  <pageMargins left="0.19685039370078741" right="0.19685039370078741" top="0.15748031496062992" bottom="0.15748031496062992" header="0.15748031496062992" footer="0.23622047244094491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0070C0"/>
    <pageSetUpPr fitToPage="1"/>
  </sheetPr>
  <dimension ref="A1:N53"/>
  <sheetViews>
    <sheetView topLeftCell="A33" zoomScale="110" zoomScaleNormal="110" workbookViewId="0">
      <selection activeCell="B1" sqref="B1:H51"/>
    </sheetView>
  </sheetViews>
  <sheetFormatPr defaultColWidth="9.140625" defaultRowHeight="15.75" outlineLevelRow="1"/>
  <cols>
    <col min="1" max="1" width="2.85546875" style="1" customWidth="1"/>
    <col min="2" max="2" width="55.85546875" style="1" customWidth="1"/>
    <col min="3" max="3" width="15.140625" style="14" customWidth="1"/>
    <col min="4" max="4" width="8.85546875" style="3" customWidth="1"/>
    <col min="5" max="5" width="9.85546875" style="3" customWidth="1"/>
    <col min="6" max="6" width="9.85546875" style="1" customWidth="1"/>
    <col min="7" max="7" width="10.28515625" style="1" customWidth="1"/>
    <col min="8" max="8" width="10.5703125" style="1" customWidth="1"/>
    <col min="9" max="9" width="14.7109375" style="1" customWidth="1"/>
    <col min="10" max="10" width="14" style="1" customWidth="1"/>
    <col min="11" max="12" width="9.140625" style="1"/>
    <col min="13" max="13" width="20.7109375" style="179" customWidth="1"/>
    <col min="14" max="14" width="24.5703125" style="179" customWidth="1"/>
    <col min="15" max="16384" width="9.140625" style="1"/>
  </cols>
  <sheetData>
    <row r="1" spans="1:9">
      <c r="B1" s="262" t="s">
        <v>119</v>
      </c>
      <c r="C1" s="262"/>
      <c r="D1" s="262"/>
      <c r="E1" s="262"/>
      <c r="F1" s="262"/>
      <c r="G1" s="262"/>
      <c r="H1" s="262"/>
    </row>
    <row r="2" spans="1:9">
      <c r="B2" s="262" t="s">
        <v>120</v>
      </c>
      <c r="C2" s="262"/>
      <c r="D2" s="262"/>
      <c r="E2" s="262"/>
      <c r="F2" s="262"/>
      <c r="G2" s="262"/>
      <c r="H2" s="262"/>
    </row>
    <row r="3" spans="1:9">
      <c r="B3" s="262" t="s">
        <v>151</v>
      </c>
      <c r="C3" s="262"/>
      <c r="D3" s="262"/>
      <c r="E3" s="262"/>
      <c r="F3" s="262"/>
      <c r="G3" s="262"/>
      <c r="H3" s="262"/>
    </row>
    <row r="4" spans="1:9" ht="13.5" customHeight="1">
      <c r="B4" s="262" t="s">
        <v>174</v>
      </c>
      <c r="C4" s="262"/>
      <c r="D4" s="262"/>
      <c r="E4" s="262"/>
      <c r="F4" s="262"/>
      <c r="G4" s="262"/>
      <c r="H4" s="262"/>
    </row>
    <row r="5" spans="1:9" ht="15.75" customHeight="1">
      <c r="A5" s="13"/>
      <c r="B5" s="263" t="s">
        <v>175</v>
      </c>
      <c r="C5" s="263"/>
      <c r="D5" s="263"/>
      <c r="E5" s="263"/>
      <c r="F5" s="263"/>
      <c r="G5" s="263"/>
      <c r="H5" s="263"/>
    </row>
    <row r="6" spans="1:9" ht="21.75" customHeight="1">
      <c r="A6" s="13"/>
      <c r="B6" s="263"/>
      <c r="C6" s="263"/>
      <c r="D6" s="263"/>
      <c r="E6" s="263"/>
      <c r="F6" s="263"/>
      <c r="G6" s="263"/>
      <c r="H6" s="263"/>
    </row>
    <row r="7" spans="1:9" ht="9.75" customHeight="1"/>
    <row r="8" spans="1:9" ht="13.5" customHeight="1">
      <c r="B8" s="163" t="s">
        <v>0</v>
      </c>
      <c r="C8" s="164"/>
      <c r="D8" s="270" t="s">
        <v>19</v>
      </c>
      <c r="E8" s="270"/>
    </row>
    <row r="9" spans="1:9" ht="15" customHeight="1">
      <c r="B9" s="163" t="s">
        <v>1</v>
      </c>
      <c r="C9" s="164"/>
      <c r="D9" s="209">
        <v>1990</v>
      </c>
      <c r="E9" s="209"/>
    </row>
    <row r="10" spans="1:9" hidden="1" outlineLevel="1">
      <c r="B10" s="163" t="s">
        <v>2</v>
      </c>
      <c r="C10" s="164"/>
      <c r="D10" s="209">
        <v>5</v>
      </c>
      <c r="E10" s="209"/>
    </row>
    <row r="11" spans="1:9" hidden="1" outlineLevel="1">
      <c r="B11" s="163" t="s">
        <v>3</v>
      </c>
      <c r="C11" s="164"/>
      <c r="D11" s="209">
        <v>62</v>
      </c>
      <c r="E11" s="209"/>
    </row>
    <row r="12" spans="1:9" ht="30.75" hidden="1" customHeight="1" outlineLevel="1">
      <c r="B12" s="165" t="s">
        <v>4</v>
      </c>
      <c r="C12" s="166"/>
      <c r="D12" s="209" t="s">
        <v>20</v>
      </c>
      <c r="E12" s="209"/>
    </row>
    <row r="13" spans="1:9" ht="16.5" customHeight="1" collapsed="1">
      <c r="B13" s="163" t="s">
        <v>5</v>
      </c>
      <c r="C13" s="164"/>
      <c r="D13" s="209" t="s">
        <v>103</v>
      </c>
      <c r="E13" s="209"/>
      <c r="I13" s="5"/>
    </row>
    <row r="14" spans="1:9" hidden="1" outlineLevel="1">
      <c r="B14" s="1" t="s">
        <v>6</v>
      </c>
      <c r="D14" s="156" t="s">
        <v>7</v>
      </c>
      <c r="E14" s="156"/>
    </row>
    <row r="15" spans="1:9" ht="30.75" hidden="1" customHeight="1" outlineLevel="1">
      <c r="B15" s="15" t="s">
        <v>8</v>
      </c>
      <c r="C15" s="16"/>
      <c r="D15" s="210" t="s">
        <v>18</v>
      </c>
      <c r="E15" s="156"/>
      <c r="I15" s="5"/>
    </row>
    <row r="16" spans="1:9" ht="18" customHeight="1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4" ht="4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4" ht="16.5" customHeight="1">
      <c r="B18" s="150" t="s">
        <v>11</v>
      </c>
      <c r="C18" s="275">
        <v>7144738.2500000009</v>
      </c>
      <c r="D18" s="276"/>
      <c r="E18" s="237">
        <v>4795842.5500000007</v>
      </c>
      <c r="F18" s="238"/>
      <c r="G18" s="237">
        <v>2348895.7000000002</v>
      </c>
      <c r="H18" s="253"/>
      <c r="I18" s="5"/>
    </row>
    <row r="19" spans="2:14" ht="15.75" customHeight="1">
      <c r="B19" s="151" t="s">
        <v>12</v>
      </c>
      <c r="C19" s="239">
        <v>6635090.0899999999</v>
      </c>
      <c r="D19" s="277"/>
      <c r="E19" s="239">
        <v>4443415.08</v>
      </c>
      <c r="F19" s="240"/>
      <c r="G19" s="239">
        <v>2191675.0099999998</v>
      </c>
      <c r="H19" s="250"/>
      <c r="I19" s="5"/>
    </row>
    <row r="20" spans="2:14" ht="16.5" thickBot="1">
      <c r="B20" s="152" t="s">
        <v>88</v>
      </c>
      <c r="C20" s="278">
        <v>7339162.0769616412</v>
      </c>
      <c r="D20" s="279"/>
      <c r="E20" s="241">
        <v>4904333.0769616412</v>
      </c>
      <c r="F20" s="242"/>
      <c r="G20" s="241">
        <v>2434829</v>
      </c>
      <c r="H20" s="251"/>
      <c r="I20" s="5"/>
    </row>
    <row r="21" spans="2:14" ht="32.25" customHeight="1" thickBot="1">
      <c r="B21" s="153" t="s">
        <v>143</v>
      </c>
      <c r="C21" s="243">
        <f>E21+G21</f>
        <v>-704071.98696164135</v>
      </c>
      <c r="D21" s="244"/>
      <c r="E21" s="254">
        <f>E19-E20</f>
        <v>-460917.99696164113</v>
      </c>
      <c r="F21" s="255"/>
      <c r="G21" s="254">
        <f>G19-G20</f>
        <v>-243153.99000000022</v>
      </c>
      <c r="H21" s="256"/>
      <c r="I21" s="5"/>
    </row>
    <row r="22" spans="2:14" ht="12.75" customHeight="1">
      <c r="B22" s="15"/>
      <c r="C22" s="16"/>
      <c r="D22" s="210"/>
      <c r="E22" s="156"/>
      <c r="I22" s="5"/>
    </row>
    <row r="23" spans="2:14" ht="32.25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4" ht="30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5"/>
      <c r="M24" s="234"/>
      <c r="N24" s="234"/>
    </row>
    <row r="25" spans="2:14" s="208" customFormat="1" ht="54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I25" s="1"/>
      <c r="J25" s="1"/>
      <c r="K25" s="1"/>
      <c r="L25" s="1"/>
      <c r="M25" s="201">
        <v>485171.68</v>
      </c>
      <c r="N25" s="201">
        <f>M25</f>
        <v>485171.68</v>
      </c>
    </row>
    <row r="26" spans="2:14" s="2" customFormat="1" ht="41.25" customHeight="1">
      <c r="B26" s="19" t="s">
        <v>86</v>
      </c>
      <c r="C26" s="20" t="s">
        <v>97</v>
      </c>
      <c r="D26" s="21" t="s">
        <v>98</v>
      </c>
      <c r="E26" s="22">
        <v>1.53</v>
      </c>
      <c r="F26" s="23">
        <f t="shared" ref="F26:F31" si="0">$M$25/$M$26*E26</f>
        <v>55854.978961625282</v>
      </c>
      <c r="G26" s="24">
        <f>$N$25/$N$26*E26</f>
        <v>55854.978961625282</v>
      </c>
      <c r="H26" s="25">
        <f>F26-G26</f>
        <v>0</v>
      </c>
      <c r="I26" s="63"/>
      <c r="J26" s="208"/>
      <c r="K26" s="208"/>
      <c r="L26" s="27"/>
      <c r="M26" s="203">
        <f>E36-E33</f>
        <v>13.29</v>
      </c>
      <c r="N26" s="203">
        <f>M26</f>
        <v>13.29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1.68</v>
      </c>
      <c r="F27" s="23">
        <f t="shared" si="0"/>
        <v>61330.957291196384</v>
      </c>
      <c r="G27" s="24">
        <f t="shared" ref="G27:G31" si="1">$N$25/$N$26*E27</f>
        <v>61330.957291196384</v>
      </c>
      <c r="H27" s="25">
        <f t="shared" ref="H27:H32" si="2">F27-G27</f>
        <v>0</v>
      </c>
      <c r="I27" s="31"/>
      <c r="J27" s="2"/>
      <c r="K27" s="2"/>
      <c r="L27" s="2"/>
      <c r="M27" s="180"/>
      <c r="N27" s="180"/>
    </row>
    <row r="28" spans="2:14" ht="29.2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11682.087103085027</v>
      </c>
      <c r="G28" s="24">
        <f t="shared" si="1"/>
        <v>11682.087103085027</v>
      </c>
      <c r="H28" s="25">
        <f t="shared" si="2"/>
        <v>0</v>
      </c>
      <c r="I28" s="33"/>
      <c r="L28" s="5"/>
    </row>
    <row r="29" spans="2:14" ht="27.75" customHeight="1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21173.78287434161</v>
      </c>
      <c r="G29" s="24">
        <f t="shared" si="1"/>
        <v>21173.78287434161</v>
      </c>
      <c r="H29" s="25">
        <f t="shared" si="2"/>
        <v>0</v>
      </c>
      <c r="I29" s="33"/>
      <c r="L29" s="5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50379.000632054172</v>
      </c>
      <c r="G30" s="24">
        <f t="shared" si="1"/>
        <v>50379.000632054172</v>
      </c>
      <c r="H30" s="25">
        <f t="shared" si="2"/>
        <v>0</v>
      </c>
      <c r="I30" s="33"/>
    </row>
    <row r="31" spans="2:14" s="2" customFormat="1" ht="213" customHeight="1">
      <c r="B31" s="28" t="s">
        <v>136</v>
      </c>
      <c r="C31" s="20" t="s">
        <v>100</v>
      </c>
      <c r="D31" s="21" t="s">
        <v>98</v>
      </c>
      <c r="E31" s="29">
        <v>6.54</v>
      </c>
      <c r="F31" s="23">
        <f t="shared" si="0"/>
        <v>238752.65516930024</v>
      </c>
      <c r="G31" s="24">
        <f t="shared" si="1"/>
        <v>238752.65516930024</v>
      </c>
      <c r="H31" s="25">
        <f t="shared" si="2"/>
        <v>0</v>
      </c>
      <c r="I31" s="31"/>
      <c r="L31" s="4"/>
      <c r="M31" s="180"/>
      <c r="N31" s="180"/>
    </row>
    <row r="32" spans="2:14" ht="113.4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>$M$25/$M$26*E32</f>
        <v>10221.826215199399</v>
      </c>
      <c r="G32" s="24">
        <f>$N$25/$N$26*E32</f>
        <v>10221.826215199399</v>
      </c>
      <c r="H32" s="25">
        <f t="shared" si="2"/>
        <v>0</v>
      </c>
      <c r="I32" s="33"/>
    </row>
    <row r="33" spans="2:14" ht="27.75" customHeight="1">
      <c r="B33" s="32" t="s">
        <v>91</v>
      </c>
      <c r="C33" s="20" t="s">
        <v>97</v>
      </c>
      <c r="D33" s="21" t="s">
        <v>98</v>
      </c>
      <c r="E33" s="29">
        <v>7.09</v>
      </c>
      <c r="F33" s="23">
        <v>258809.32</v>
      </c>
      <c r="G33" s="30">
        <v>366952</v>
      </c>
      <c r="H33" s="25">
        <f>F33-G33</f>
        <v>-108142.68</v>
      </c>
      <c r="I33" s="33"/>
      <c r="L33" s="5"/>
    </row>
    <row r="34" spans="2:14">
      <c r="B34" s="32" t="s">
        <v>92</v>
      </c>
      <c r="C34" s="34" t="s">
        <v>99</v>
      </c>
      <c r="D34" s="21" t="s">
        <v>98</v>
      </c>
      <c r="E34" s="29">
        <v>0.31</v>
      </c>
      <c r="F34" s="23">
        <f>$M$25/$M$26*E34</f>
        <v>11317.02188111362</v>
      </c>
      <c r="G34" s="24">
        <f>$N$25/$N$26*E34</f>
        <v>11317.02188111362</v>
      </c>
      <c r="H34" s="25">
        <f t="shared" ref="H34:H35" si="3">F34-G34</f>
        <v>0</v>
      </c>
      <c r="I34" s="33"/>
      <c r="J34" s="64"/>
      <c r="K34" s="64"/>
      <c r="L34" s="5"/>
      <c r="M34" s="181"/>
    </row>
    <row r="35" spans="2:14" ht="16.5" thickBot="1">
      <c r="B35" s="62" t="s">
        <v>85</v>
      </c>
      <c r="C35" s="36" t="s">
        <v>100</v>
      </c>
      <c r="D35" s="37" t="s">
        <v>98</v>
      </c>
      <c r="E35" s="38">
        <v>0.67</v>
      </c>
      <c r="F35" s="23">
        <f>$M$25/$M$26*E35</f>
        <v>24459.369872084277</v>
      </c>
      <c r="G35" s="24">
        <f>$N$25/$N$26*E35</f>
        <v>24459.369872084277</v>
      </c>
      <c r="H35" s="25">
        <f t="shared" si="3"/>
        <v>0</v>
      </c>
      <c r="I35" s="33"/>
    </row>
    <row r="36" spans="2:14" s="66" customFormat="1" ht="18" customHeight="1" thickBot="1">
      <c r="B36" s="39" t="s">
        <v>89</v>
      </c>
      <c r="C36" s="40"/>
      <c r="D36" s="40"/>
      <c r="E36" s="41">
        <f>SUM(E26:E35)</f>
        <v>20.38</v>
      </c>
      <c r="F36" s="42">
        <f>SUM(F26:F35)</f>
        <v>743981</v>
      </c>
      <c r="G36" s="43">
        <f>SUM(G26:G35)</f>
        <v>852123.68</v>
      </c>
      <c r="H36" s="44">
        <f>SUM(H26:H35)</f>
        <v>-108142.68</v>
      </c>
      <c r="I36" s="65"/>
      <c r="J36" s="5"/>
      <c r="K36" s="1"/>
      <c r="L36" s="1"/>
      <c r="M36" s="179"/>
      <c r="N36" s="179"/>
    </row>
    <row r="37" spans="2:14" s="3" customFormat="1">
      <c r="B37" s="5"/>
      <c r="C37" s="5"/>
      <c r="D37" s="5"/>
      <c r="E37" s="14"/>
      <c r="F37" s="14"/>
      <c r="G37" s="14"/>
      <c r="I37" s="1"/>
      <c r="J37" s="1"/>
      <c r="K37" s="1"/>
      <c r="L37" s="1"/>
      <c r="M37" s="179"/>
      <c r="N37" s="179"/>
    </row>
    <row r="38" spans="2:14" ht="16.5" customHeight="1" thickBot="1">
      <c r="B38" s="249" t="s">
        <v>178</v>
      </c>
      <c r="C38" s="249"/>
      <c r="D38" s="249"/>
      <c r="E38" s="249"/>
      <c r="F38" s="249"/>
      <c r="G38" s="249"/>
      <c r="H38" s="249"/>
      <c r="I38" s="45"/>
      <c r="J38" s="45"/>
    </row>
    <row r="39" spans="2:14" ht="47.25" customHeight="1" thickBot="1">
      <c r="B39" s="200" t="s">
        <v>179</v>
      </c>
      <c r="C39" s="235" t="s">
        <v>101</v>
      </c>
      <c r="D39" s="236"/>
      <c r="E39" s="245" t="s">
        <v>9</v>
      </c>
      <c r="F39" s="246"/>
      <c r="G39" s="245" t="s">
        <v>10</v>
      </c>
      <c r="H39" s="252"/>
      <c r="I39" s="169"/>
      <c r="J39" s="158"/>
      <c r="K39" s="46"/>
      <c r="L39" s="47"/>
      <c r="M39" s="181"/>
      <c r="N39" s="181"/>
    </row>
    <row r="40" spans="2:14">
      <c r="B40" s="150" t="s">
        <v>11</v>
      </c>
      <c r="C40" s="237">
        <f>E40+G40</f>
        <v>7888719.25</v>
      </c>
      <c r="D40" s="238"/>
      <c r="E40" s="237">
        <f>F26+F27+F30+F31+F32+F34+F35+E18+F28+F29</f>
        <v>5281014.2300000004</v>
      </c>
      <c r="F40" s="238"/>
      <c r="G40" s="237">
        <f>F33+G18</f>
        <v>2607705.02</v>
      </c>
      <c r="H40" s="253"/>
      <c r="I40" s="159"/>
      <c r="J40" s="160"/>
      <c r="K40" s="50"/>
      <c r="L40" s="49"/>
      <c r="M40" s="204"/>
    </row>
    <row r="41" spans="2:14">
      <c r="B41" s="151" t="s">
        <v>12</v>
      </c>
      <c r="C41" s="239">
        <f>E41+G41</f>
        <v>7350046.9299999997</v>
      </c>
      <c r="D41" s="240"/>
      <c r="E41" s="239">
        <f>E19+415840.04</f>
        <v>4859255.12</v>
      </c>
      <c r="F41" s="240"/>
      <c r="G41" s="239">
        <f>G19+299116.8</f>
        <v>2490791.8099999996</v>
      </c>
      <c r="H41" s="250"/>
      <c r="I41" s="159"/>
      <c r="J41" s="161"/>
      <c r="K41" s="51"/>
      <c r="L41" s="49"/>
      <c r="M41" s="204"/>
    </row>
    <row r="42" spans="2:14" s="2" customFormat="1" ht="16.5" thickBot="1">
      <c r="B42" s="152" t="s">
        <v>88</v>
      </c>
      <c r="C42" s="241">
        <f>E42+G42</f>
        <v>8191285.7569616409</v>
      </c>
      <c r="D42" s="242"/>
      <c r="E42" s="241">
        <f>G26+G27+G28+G29+G30+G31+G32+G34+G35+E20</f>
        <v>5389504.7569616409</v>
      </c>
      <c r="F42" s="242"/>
      <c r="G42" s="241">
        <f>G33+G20</f>
        <v>2801781</v>
      </c>
      <c r="H42" s="251"/>
      <c r="I42" s="159"/>
      <c r="J42" s="48"/>
      <c r="K42" s="33"/>
      <c r="L42" s="33"/>
      <c r="M42" s="179"/>
      <c r="N42" s="179"/>
    </row>
    <row r="43" spans="2:14" s="2" customFormat="1" ht="26.25" customHeight="1" thickBot="1">
      <c r="B43" s="153" t="s">
        <v>144</v>
      </c>
      <c r="C43" s="243">
        <f>E43+G43</f>
        <v>-841238.8269616412</v>
      </c>
      <c r="D43" s="244"/>
      <c r="E43" s="254">
        <f>E41-E42</f>
        <v>-530249.63696164079</v>
      </c>
      <c r="F43" s="255"/>
      <c r="G43" s="260">
        <f>G41-G42</f>
        <v>-310989.19000000041</v>
      </c>
      <c r="H43" s="261"/>
      <c r="I43" s="162"/>
      <c r="J43" s="147"/>
      <c r="K43" s="33"/>
      <c r="L43" s="33"/>
      <c r="M43" s="179"/>
      <c r="N43" s="179"/>
    </row>
    <row r="44" spans="2:14" s="2" customFormat="1" ht="15.75" customHeight="1">
      <c r="B44" s="76"/>
      <c r="C44" s="145"/>
      <c r="D44" s="145"/>
      <c r="E44" s="147"/>
      <c r="F44" s="147"/>
      <c r="G44" s="147"/>
      <c r="H44" s="147"/>
      <c r="I44" s="50"/>
      <c r="J44" s="50"/>
      <c r="K44" s="33"/>
      <c r="L44" s="33"/>
      <c r="M44" s="179"/>
      <c r="N44" s="179"/>
    </row>
    <row r="45" spans="2:14" s="2" customFormat="1" ht="14.25" customHeight="1">
      <c r="B45" s="52" t="s">
        <v>77</v>
      </c>
      <c r="C45" s="232" t="s">
        <v>147</v>
      </c>
      <c r="D45" s="232"/>
      <c r="E45" s="232"/>
      <c r="F45" s="258" t="s">
        <v>169</v>
      </c>
      <c r="G45" s="258"/>
      <c r="H45" s="52"/>
      <c r="I45" s="52"/>
      <c r="M45" s="180"/>
      <c r="N45" s="180"/>
    </row>
    <row r="46" spans="2:14" ht="10.5" customHeight="1">
      <c r="B46" s="52"/>
      <c r="C46" s="53"/>
      <c r="D46" s="53"/>
      <c r="E46" s="219"/>
      <c r="F46" s="259"/>
      <c r="G46" s="259"/>
      <c r="H46" s="52"/>
      <c r="I46" s="52"/>
      <c r="J46" s="2"/>
      <c r="K46" s="2"/>
      <c r="L46" s="2"/>
      <c r="M46" s="180"/>
      <c r="N46" s="180"/>
    </row>
    <row r="47" spans="2:14" ht="12" customHeight="1">
      <c r="B47" s="52" t="s">
        <v>78</v>
      </c>
      <c r="C47" s="232" t="s">
        <v>147</v>
      </c>
      <c r="D47" s="232"/>
      <c r="E47" s="232"/>
      <c r="F47" s="258" t="s">
        <v>93</v>
      </c>
      <c r="G47" s="258"/>
      <c r="H47" s="52"/>
      <c r="I47" s="52"/>
      <c r="J47" s="2"/>
      <c r="K47" s="2"/>
      <c r="L47" s="2"/>
      <c r="M47" s="180"/>
      <c r="N47" s="180"/>
    </row>
    <row r="48" spans="2:14" ht="8.25" customHeight="1">
      <c r="B48" s="52"/>
      <c r="C48" s="53"/>
      <c r="D48" s="53"/>
      <c r="E48" s="219"/>
      <c r="F48" s="258"/>
      <c r="G48" s="258"/>
      <c r="H48" s="52"/>
      <c r="I48" s="52"/>
    </row>
    <row r="49" spans="2:9" ht="12.75" customHeight="1">
      <c r="B49" s="52" t="s">
        <v>79</v>
      </c>
      <c r="C49" s="232" t="s">
        <v>148</v>
      </c>
      <c r="D49" s="232"/>
      <c r="E49" s="232"/>
      <c r="F49" s="258" t="s">
        <v>170</v>
      </c>
      <c r="G49" s="258"/>
      <c r="H49" s="52"/>
      <c r="I49" s="52"/>
    </row>
    <row r="50" spans="2:9" ht="8.25" customHeight="1">
      <c r="B50" s="54"/>
      <c r="C50" s="55"/>
      <c r="D50" s="55"/>
      <c r="E50" s="219"/>
      <c r="F50" s="183"/>
      <c r="G50" s="54"/>
      <c r="H50" s="56"/>
      <c r="I50" s="6"/>
    </row>
    <row r="51" spans="2:9" ht="14.25" customHeight="1">
      <c r="B51" s="52" t="s">
        <v>80</v>
      </c>
      <c r="C51" s="232" t="s">
        <v>148</v>
      </c>
      <c r="D51" s="232"/>
      <c r="E51" s="232"/>
      <c r="F51" s="258" t="s">
        <v>170</v>
      </c>
      <c r="G51" s="258"/>
      <c r="H51" s="52"/>
      <c r="I51" s="52"/>
    </row>
    <row r="52" spans="2:9" ht="9.75" customHeight="1">
      <c r="C52" s="1"/>
      <c r="D52" s="1"/>
      <c r="E52" s="219"/>
      <c r="F52" s="257"/>
      <c r="G52" s="257"/>
      <c r="H52" s="3"/>
      <c r="I52" s="3"/>
    </row>
    <row r="53" spans="2:9">
      <c r="C53" s="1"/>
      <c r="D53" s="1"/>
      <c r="E53" s="14"/>
      <c r="F53" s="3"/>
      <c r="G53" s="3"/>
      <c r="H53" s="3"/>
    </row>
  </sheetData>
  <mergeCells count="58">
    <mergeCell ref="B2:H2"/>
    <mergeCell ref="B3:H3"/>
    <mergeCell ref="B4:H4"/>
    <mergeCell ref="B1:H1"/>
    <mergeCell ref="F48:G48"/>
    <mergeCell ref="E40:F40"/>
    <mergeCell ref="G43:H43"/>
    <mergeCell ref="F47:G47"/>
    <mergeCell ref="G40:H40"/>
    <mergeCell ref="G42:H42"/>
    <mergeCell ref="H24:H25"/>
    <mergeCell ref="B5:H6"/>
    <mergeCell ref="D8:E8"/>
    <mergeCell ref="B23:H23"/>
    <mergeCell ref="F24:G24"/>
    <mergeCell ref="E39:F39"/>
    <mergeCell ref="F52:G52"/>
    <mergeCell ref="F49:G49"/>
    <mergeCell ref="F51:G51"/>
    <mergeCell ref="C39:D39"/>
    <mergeCell ref="C40:D40"/>
    <mergeCell ref="C41:D41"/>
    <mergeCell ref="C42:D42"/>
    <mergeCell ref="C43:D43"/>
    <mergeCell ref="C45:E45"/>
    <mergeCell ref="C47:E47"/>
    <mergeCell ref="G39:H39"/>
    <mergeCell ref="E41:F41"/>
    <mergeCell ref="G41:H41"/>
    <mergeCell ref="F45:G45"/>
    <mergeCell ref="E42:F42"/>
    <mergeCell ref="E43:F43"/>
    <mergeCell ref="B24:B25"/>
    <mergeCell ref="C24:C25"/>
    <mergeCell ref="D24:D25"/>
    <mergeCell ref="E24:E25"/>
    <mergeCell ref="B38:H38"/>
    <mergeCell ref="B16:H16"/>
    <mergeCell ref="C17:D17"/>
    <mergeCell ref="E17:F17"/>
    <mergeCell ref="G17:H17"/>
    <mergeCell ref="C18:D18"/>
    <mergeCell ref="E18:F18"/>
    <mergeCell ref="G18:H18"/>
    <mergeCell ref="M23:M24"/>
    <mergeCell ref="N23:N24"/>
    <mergeCell ref="C19:D19"/>
    <mergeCell ref="E19:F19"/>
    <mergeCell ref="G19:H19"/>
    <mergeCell ref="C20:D20"/>
    <mergeCell ref="E20:F20"/>
    <mergeCell ref="G20:H20"/>
    <mergeCell ref="C49:E49"/>
    <mergeCell ref="C51:E51"/>
    <mergeCell ref="C21:D21"/>
    <mergeCell ref="E21:F21"/>
    <mergeCell ref="G21:H21"/>
    <mergeCell ref="F46:G46"/>
  </mergeCells>
  <printOptions horizontalCentered="1"/>
  <pageMargins left="0.19685039370078741" right="0.19685039370078741" top="0.15748031496062992" bottom="0.23622047244094491" header="0.15748031496062992" footer="0.24"/>
  <pageSetup paperSize="9" scale="46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tabColor rgb="FF0070C0"/>
    <pageSetUpPr fitToPage="1"/>
  </sheetPr>
  <dimension ref="A1:O50"/>
  <sheetViews>
    <sheetView topLeftCell="A32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5.85546875" style="1" customWidth="1"/>
    <col min="3" max="3" width="14.5703125" style="14" customWidth="1"/>
    <col min="4" max="4" width="8.42578125" style="3" customWidth="1"/>
    <col min="5" max="5" width="10" style="3" customWidth="1"/>
    <col min="6" max="6" width="9.7109375" style="1" customWidth="1"/>
    <col min="7" max="7" width="10.28515625" style="1" customWidth="1"/>
    <col min="8" max="8" width="10.5703125" style="1" customWidth="1"/>
    <col min="9" max="9" width="19" style="1" customWidth="1"/>
    <col min="10" max="10" width="14.28515625" style="1" customWidth="1"/>
    <col min="11" max="11" width="10" style="1" bestFit="1" customWidth="1"/>
    <col min="12" max="12" width="15.140625" style="78" customWidth="1"/>
    <col min="13" max="13" width="19.85546875" style="179" customWidth="1"/>
    <col min="14" max="14" width="20.140625" style="179" customWidth="1"/>
    <col min="15" max="15" width="9.140625" style="179"/>
    <col min="16" max="16384" width="9.140625" style="1"/>
  </cols>
  <sheetData>
    <row r="1" spans="1:9">
      <c r="B1" s="262" t="s">
        <v>119</v>
      </c>
      <c r="C1" s="262"/>
      <c r="D1" s="262"/>
      <c r="E1" s="262"/>
      <c r="F1" s="262"/>
      <c r="G1" s="262"/>
      <c r="H1" s="262"/>
    </row>
    <row r="2" spans="1:9">
      <c r="B2" s="262" t="s">
        <v>120</v>
      </c>
      <c r="C2" s="262"/>
      <c r="D2" s="262"/>
      <c r="E2" s="262"/>
      <c r="F2" s="262"/>
      <c r="G2" s="262"/>
      <c r="H2" s="262"/>
    </row>
    <row r="3" spans="1:9">
      <c r="B3" s="262" t="s">
        <v>152</v>
      </c>
      <c r="C3" s="262"/>
      <c r="D3" s="262"/>
      <c r="E3" s="262"/>
      <c r="F3" s="262"/>
      <c r="G3" s="262"/>
      <c r="H3" s="262"/>
    </row>
    <row r="4" spans="1:9">
      <c r="B4" s="262" t="s">
        <v>174</v>
      </c>
      <c r="C4" s="262"/>
      <c r="D4" s="262"/>
      <c r="E4" s="262"/>
      <c r="F4" s="262"/>
      <c r="G4" s="262"/>
      <c r="H4" s="262"/>
    </row>
    <row r="5" spans="1:9" ht="19.5" customHeight="1">
      <c r="A5" s="67"/>
      <c r="B5" s="263" t="s">
        <v>175</v>
      </c>
      <c r="C5" s="263"/>
      <c r="D5" s="263"/>
      <c r="E5" s="263"/>
      <c r="F5" s="263"/>
      <c r="G5" s="263"/>
      <c r="H5" s="263"/>
    </row>
    <row r="6" spans="1:9" ht="20.25" customHeight="1">
      <c r="A6" s="67"/>
      <c r="B6" s="263"/>
      <c r="C6" s="263"/>
      <c r="D6" s="263"/>
      <c r="E6" s="263"/>
      <c r="F6" s="263"/>
      <c r="G6" s="263"/>
      <c r="H6" s="263"/>
    </row>
    <row r="7" spans="1:9" ht="8.25" customHeight="1"/>
    <row r="8" spans="1:9">
      <c r="B8" s="6" t="s">
        <v>0</v>
      </c>
      <c r="C8" s="57"/>
      <c r="D8" s="282" t="s">
        <v>21</v>
      </c>
      <c r="E8" s="282"/>
    </row>
    <row r="9" spans="1:9">
      <c r="B9" s="6" t="s">
        <v>1</v>
      </c>
      <c r="C9" s="57"/>
      <c r="D9" s="212">
        <v>1963</v>
      </c>
      <c r="E9" s="212"/>
    </row>
    <row r="10" spans="1:9" hidden="1" outlineLevel="1">
      <c r="B10" s="6" t="s">
        <v>2</v>
      </c>
      <c r="C10" s="57"/>
      <c r="D10" s="212">
        <v>4</v>
      </c>
      <c r="E10" s="212"/>
    </row>
    <row r="11" spans="1:9" hidden="1" outlineLevel="1">
      <c r="B11" s="6" t="s">
        <v>3</v>
      </c>
      <c r="C11" s="57"/>
      <c r="D11" s="212">
        <v>48</v>
      </c>
      <c r="E11" s="212"/>
    </row>
    <row r="12" spans="1:9" ht="30.75" hidden="1" customHeight="1" outlineLevel="1">
      <c r="B12" s="58" t="s">
        <v>4</v>
      </c>
      <c r="C12" s="59"/>
      <c r="D12" s="212" t="s">
        <v>22</v>
      </c>
      <c r="E12" s="212"/>
    </row>
    <row r="13" spans="1:9" collapsed="1">
      <c r="B13" s="6" t="s">
        <v>5</v>
      </c>
      <c r="C13" s="57"/>
      <c r="D13" s="212" t="s">
        <v>104</v>
      </c>
      <c r="E13" s="212"/>
      <c r="I13" s="5"/>
    </row>
    <row r="14" spans="1:9" hidden="1" outlineLevel="1">
      <c r="B14" s="1" t="s">
        <v>6</v>
      </c>
      <c r="D14" s="156" t="s">
        <v>23</v>
      </c>
      <c r="E14" s="156"/>
    </row>
    <row r="15" spans="1:9" ht="30.75" hidden="1" customHeight="1" outlineLevel="1">
      <c r="B15" s="15" t="s">
        <v>8</v>
      </c>
      <c r="C15" s="16"/>
      <c r="D15" s="210" t="s">
        <v>24</v>
      </c>
      <c r="E15" s="156"/>
      <c r="I15" s="5"/>
    </row>
    <row r="16" spans="1:9" ht="15.75" customHeight="1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5" ht="47.2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5" ht="15.75" customHeight="1">
      <c r="B18" s="150" t="s">
        <v>11</v>
      </c>
      <c r="C18" s="275">
        <v>3939014.0899796612</v>
      </c>
      <c r="D18" s="280"/>
      <c r="E18" s="275">
        <v>2750591.1227864409</v>
      </c>
      <c r="F18" s="280"/>
      <c r="G18" s="275">
        <v>1188422.9671932203</v>
      </c>
      <c r="H18" s="281"/>
      <c r="I18" s="5"/>
    </row>
    <row r="19" spans="2:15" ht="15.75" customHeight="1">
      <c r="B19" s="151" t="s">
        <v>12</v>
      </c>
      <c r="C19" s="239">
        <v>3845529.7099999995</v>
      </c>
      <c r="D19" s="277"/>
      <c r="E19" s="239">
        <v>2683449.6500338977</v>
      </c>
      <c r="F19" s="240"/>
      <c r="G19" s="239">
        <v>1162080.0599661018</v>
      </c>
      <c r="H19" s="250"/>
      <c r="I19" s="5"/>
    </row>
    <row r="20" spans="2:15" ht="15.75" customHeight="1" thickBot="1">
      <c r="B20" s="152" t="s">
        <v>88</v>
      </c>
      <c r="C20" s="278">
        <v>3862163.728234407</v>
      </c>
      <c r="D20" s="279"/>
      <c r="E20" s="241">
        <v>2799551.728234407</v>
      </c>
      <c r="F20" s="242"/>
      <c r="G20" s="241">
        <v>1062612</v>
      </c>
      <c r="H20" s="251"/>
      <c r="I20" s="5"/>
    </row>
    <row r="21" spans="2:15" ht="30.75" customHeight="1" thickBot="1">
      <c r="B21" s="153" t="s">
        <v>143</v>
      </c>
      <c r="C21" s="243">
        <f>E21+G21</f>
        <v>-16634.018234407529</v>
      </c>
      <c r="D21" s="244"/>
      <c r="E21" s="254">
        <f>E19-E20</f>
        <v>-116102.07820050931</v>
      </c>
      <c r="F21" s="255"/>
      <c r="G21" s="254">
        <f>G19-G20</f>
        <v>99468.059966101777</v>
      </c>
      <c r="H21" s="256"/>
      <c r="I21" s="5"/>
    </row>
    <row r="22" spans="2:15" ht="12" customHeight="1">
      <c r="B22" s="15"/>
      <c r="C22" s="16"/>
      <c r="D22" s="210"/>
      <c r="E22" s="156"/>
      <c r="I22" s="5"/>
    </row>
    <row r="23" spans="2:15" ht="31.5" customHeight="1" thickBot="1">
      <c r="B23" s="272" t="s">
        <v>176</v>
      </c>
      <c r="C23" s="272"/>
      <c r="D23" s="272"/>
      <c r="E23" s="272"/>
      <c r="F23" s="272"/>
      <c r="G23" s="272"/>
      <c r="H23" s="272"/>
      <c r="L23" s="84"/>
      <c r="M23" s="233" t="s">
        <v>145</v>
      </c>
      <c r="N23" s="233" t="s">
        <v>146</v>
      </c>
    </row>
    <row r="24" spans="2:15" ht="31.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84"/>
      <c r="M24" s="234"/>
      <c r="N24" s="234"/>
    </row>
    <row r="25" spans="2:15" s="208" customFormat="1" ht="46.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I25" s="1"/>
      <c r="J25" s="1"/>
      <c r="K25" s="1"/>
      <c r="L25" s="78"/>
      <c r="M25" s="203">
        <v>289540.08</v>
      </c>
      <c r="N25" s="203">
        <f>M25</f>
        <v>289540.08</v>
      </c>
      <c r="O25" s="185"/>
    </row>
    <row r="26" spans="2:15" s="2" customFormat="1" ht="39" customHeight="1">
      <c r="B26" s="19" t="s">
        <v>86</v>
      </c>
      <c r="C26" s="20" t="s">
        <v>97</v>
      </c>
      <c r="D26" s="21" t="s">
        <v>98</v>
      </c>
      <c r="E26" s="22">
        <v>1.53</v>
      </c>
      <c r="F26" s="23">
        <f>$M$25/$M$26*E26</f>
        <v>33998.18283960093</v>
      </c>
      <c r="G26" s="24">
        <f>$N$25/$N$26*E26</f>
        <v>33998.18283960093</v>
      </c>
      <c r="H26" s="25">
        <f>F26-G26</f>
        <v>0</v>
      </c>
      <c r="I26" s="26"/>
      <c r="J26" s="208"/>
      <c r="K26" s="208"/>
      <c r="L26" s="93"/>
      <c r="M26" s="203">
        <f>E35-E33</f>
        <v>13.029999999999998</v>
      </c>
      <c r="N26" s="203">
        <f>M26</f>
        <v>13.029999999999998</v>
      </c>
      <c r="O26" s="180"/>
    </row>
    <row r="27" spans="2:15" ht="51">
      <c r="B27" s="28" t="s">
        <v>90</v>
      </c>
      <c r="C27" s="20" t="s">
        <v>97</v>
      </c>
      <c r="D27" s="21" t="s">
        <v>98</v>
      </c>
      <c r="E27" s="29">
        <v>1.68</v>
      </c>
      <c r="F27" s="23">
        <f t="shared" ref="F27:F34" si="0">$M$25/$M$26*E27</f>
        <v>37331.338019953961</v>
      </c>
      <c r="G27" s="24">
        <f t="shared" ref="G27:G32" si="1">$N$25/$N$26*E27</f>
        <v>37331.338019953961</v>
      </c>
      <c r="H27" s="25">
        <f t="shared" ref="H27:H32" si="2">F27-G27</f>
        <v>0</v>
      </c>
      <c r="I27" s="31"/>
      <c r="J27" s="2"/>
      <c r="K27" s="2"/>
      <c r="L27" s="121"/>
      <c r="M27" s="204"/>
      <c r="N27" s="204"/>
    </row>
    <row r="28" spans="2:15" ht="30.7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7110.7310514198025</v>
      </c>
      <c r="G28" s="24">
        <f t="shared" si="1"/>
        <v>7110.7310514198025</v>
      </c>
      <c r="H28" s="25">
        <f t="shared" si="2"/>
        <v>0</v>
      </c>
      <c r="I28" s="33"/>
      <c r="L28" s="121"/>
      <c r="M28" s="205"/>
      <c r="N28" s="205"/>
    </row>
    <row r="29" spans="2:15" ht="25.5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12888.20003069839</v>
      </c>
      <c r="G29" s="24">
        <f t="shared" si="1"/>
        <v>12888.20003069839</v>
      </c>
      <c r="H29" s="25">
        <f t="shared" si="2"/>
        <v>0</v>
      </c>
      <c r="I29" s="33"/>
      <c r="L29" s="191"/>
      <c r="M29" s="204"/>
      <c r="N29" s="204"/>
    </row>
    <row r="30" spans="2:15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30665.027659247895</v>
      </c>
      <c r="G30" s="24">
        <f t="shared" si="1"/>
        <v>30665.027659247895</v>
      </c>
      <c r="H30" s="25">
        <f t="shared" si="2"/>
        <v>0</v>
      </c>
      <c r="I30" s="33"/>
    </row>
    <row r="31" spans="2:15" s="2" customFormat="1" ht="214.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145325.5658633922</v>
      </c>
      <c r="G31" s="24">
        <f t="shared" si="1"/>
        <v>145325.5658633922</v>
      </c>
      <c r="H31" s="25">
        <f t="shared" si="2"/>
        <v>0</v>
      </c>
      <c r="I31" s="31"/>
      <c r="L31" s="98"/>
      <c r="M31" s="180"/>
      <c r="N31" s="180"/>
      <c r="O31" s="180"/>
    </row>
    <row r="32" spans="2:15" ht="10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6221.889669992328</v>
      </c>
      <c r="G32" s="24">
        <f t="shared" si="1"/>
        <v>6221.889669992328</v>
      </c>
      <c r="H32" s="25">
        <f t="shared" si="2"/>
        <v>0</v>
      </c>
      <c r="I32" s="33"/>
    </row>
    <row r="33" spans="2:15" ht="29.25" customHeight="1">
      <c r="B33" s="32" t="s">
        <v>91</v>
      </c>
      <c r="C33" s="20" t="s">
        <v>97</v>
      </c>
      <c r="D33" s="21" t="s">
        <v>98</v>
      </c>
      <c r="E33" s="29">
        <v>5.5</v>
      </c>
      <c r="F33" s="23">
        <v>122144.52</v>
      </c>
      <c r="G33" s="30">
        <v>119534</v>
      </c>
      <c r="H33" s="25">
        <f>F33-G33</f>
        <v>2610.5200000000041</v>
      </c>
      <c r="I33" s="33"/>
      <c r="L33" s="84"/>
    </row>
    <row r="34" spans="2:15" s="66" customFormat="1" ht="16.5" thickBot="1">
      <c r="B34" s="62" t="s">
        <v>85</v>
      </c>
      <c r="C34" s="36" t="s">
        <v>100</v>
      </c>
      <c r="D34" s="37" t="s">
        <v>98</v>
      </c>
      <c r="E34" s="38">
        <v>0.72</v>
      </c>
      <c r="F34" s="23">
        <f t="shared" si="0"/>
        <v>15999.144865694554</v>
      </c>
      <c r="G34" s="24">
        <f t="shared" ref="G34" si="3">$N$25/$N$26*E34</f>
        <v>15999.144865694554</v>
      </c>
      <c r="H34" s="25">
        <f>F34-G34</f>
        <v>0</v>
      </c>
      <c r="I34" s="33"/>
      <c r="J34" s="1"/>
      <c r="K34" s="1"/>
      <c r="L34" s="78"/>
      <c r="M34" s="179"/>
      <c r="N34" s="179"/>
      <c r="O34" s="190"/>
    </row>
    <row r="35" spans="2:15" s="3" customFormat="1" ht="16.5" thickBot="1">
      <c r="B35" s="39" t="s">
        <v>89</v>
      </c>
      <c r="C35" s="40"/>
      <c r="D35" s="40"/>
      <c r="E35" s="41">
        <f>SUM(E26:E34)</f>
        <v>18.529999999999998</v>
      </c>
      <c r="F35" s="42">
        <f>SUM(F26:F34)</f>
        <v>411684.60000000009</v>
      </c>
      <c r="G35" s="43">
        <f>SUM(G26:G34)</f>
        <v>409074.08000000007</v>
      </c>
      <c r="H35" s="44">
        <f>SUM(H26:H34)</f>
        <v>2610.5200000000041</v>
      </c>
      <c r="I35" s="65">
        <v>18.53</v>
      </c>
      <c r="J35" s="5">
        <f>I35-E35</f>
        <v>0</v>
      </c>
      <c r="K35" s="1"/>
      <c r="L35" s="78"/>
      <c r="M35" s="179"/>
      <c r="N35" s="179"/>
      <c r="O35" s="181"/>
    </row>
    <row r="36" spans="2:15">
      <c r="B36" s="5"/>
      <c r="C36" s="5"/>
      <c r="D36" s="5"/>
      <c r="E36" s="14"/>
      <c r="F36" s="3"/>
      <c r="G36" s="14"/>
      <c r="H36" s="3"/>
    </row>
    <row r="37" spans="2:15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5" ht="41.2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57"/>
      <c r="J38" s="158"/>
      <c r="K38" s="46"/>
      <c r="L38" s="117"/>
      <c r="M38" s="181"/>
      <c r="N38" s="181"/>
    </row>
    <row r="39" spans="2:15">
      <c r="B39" s="150" t="s">
        <v>11</v>
      </c>
      <c r="C39" s="237">
        <f>E39+G39</f>
        <v>4350698.6899796613</v>
      </c>
      <c r="D39" s="238"/>
      <c r="E39" s="237">
        <f>F26+F27+F28+F29+F30+F31+F32+F34+E18</f>
        <v>3040131.202786441</v>
      </c>
      <c r="F39" s="238"/>
      <c r="G39" s="237">
        <f>F33+G18</f>
        <v>1310567.4871932203</v>
      </c>
      <c r="H39" s="253"/>
      <c r="I39" s="159"/>
      <c r="J39" s="160"/>
      <c r="K39" s="49"/>
      <c r="L39" s="120"/>
      <c r="M39" s="204"/>
    </row>
    <row r="40" spans="2:15" s="2" customFormat="1">
      <c r="B40" s="151" t="s">
        <v>12</v>
      </c>
      <c r="C40" s="239">
        <f>E40+G40</f>
        <v>4247739.4499999993</v>
      </c>
      <c r="D40" s="240"/>
      <c r="E40" s="239">
        <f>E19+274128.78</f>
        <v>2957578.430033898</v>
      </c>
      <c r="F40" s="240"/>
      <c r="G40" s="239">
        <f>G19+128080.96</f>
        <v>1290161.0199661017</v>
      </c>
      <c r="H40" s="250"/>
      <c r="I40" s="159"/>
      <c r="J40" s="161"/>
      <c r="K40" s="51"/>
      <c r="L40" s="120"/>
      <c r="M40" s="204"/>
      <c r="N40" s="179"/>
      <c r="O40" s="180"/>
    </row>
    <row r="41" spans="2:15" s="2" customFormat="1" ht="16.5" thickBot="1">
      <c r="B41" s="152" t="s">
        <v>88</v>
      </c>
      <c r="C41" s="241">
        <f>E41+G41</f>
        <v>4271237.8082344066</v>
      </c>
      <c r="D41" s="242"/>
      <c r="E41" s="241">
        <f>G26+G27+G28+G29+G30+G31+G32+G34+E20</f>
        <v>3089091.8082344071</v>
      </c>
      <c r="F41" s="242"/>
      <c r="G41" s="241">
        <f>G33+G20</f>
        <v>1182146</v>
      </c>
      <c r="H41" s="251"/>
      <c r="I41" s="159"/>
      <c r="J41" s="48"/>
      <c r="K41" s="33"/>
      <c r="L41" s="100"/>
      <c r="M41" s="179"/>
      <c r="N41" s="179"/>
      <c r="O41" s="180"/>
    </row>
    <row r="42" spans="2:15" s="2" customFormat="1" ht="27" customHeight="1" thickBot="1">
      <c r="B42" s="153" t="s">
        <v>144</v>
      </c>
      <c r="C42" s="243">
        <f>E42+G42</f>
        <v>-23498.35823440738</v>
      </c>
      <c r="D42" s="244"/>
      <c r="E42" s="254">
        <f>E40-E41</f>
        <v>-131513.37820050912</v>
      </c>
      <c r="F42" s="255"/>
      <c r="G42" s="254">
        <f>G40-G41</f>
        <v>108015.01996610174</v>
      </c>
      <c r="H42" s="256"/>
      <c r="I42" s="162"/>
      <c r="J42" s="147"/>
      <c r="K42" s="33"/>
      <c r="L42" s="100"/>
      <c r="M42" s="179"/>
      <c r="N42" s="179"/>
      <c r="O42" s="180"/>
    </row>
    <row r="43" spans="2:15" ht="15.75" customHeight="1">
      <c r="B43" s="76"/>
      <c r="C43" s="145"/>
      <c r="D43" s="145"/>
      <c r="E43" s="147"/>
      <c r="F43" s="147"/>
      <c r="G43" s="147"/>
      <c r="H43" s="147"/>
      <c r="I43" s="52"/>
      <c r="J43" s="2"/>
      <c r="K43" s="2"/>
      <c r="L43" s="97"/>
      <c r="M43" s="180"/>
      <c r="N43" s="180"/>
    </row>
    <row r="44" spans="2:15" ht="18.7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52"/>
      <c r="J44" s="2"/>
      <c r="K44" s="2"/>
      <c r="L44" s="97"/>
      <c r="M44" s="180"/>
      <c r="N44" s="180"/>
    </row>
    <row r="45" spans="2:15" ht="7.5" customHeight="1">
      <c r="B45" s="52"/>
      <c r="C45" s="53"/>
      <c r="D45" s="53"/>
      <c r="E45" s="219"/>
      <c r="F45" s="259"/>
      <c r="G45" s="259"/>
      <c r="H45" s="52"/>
      <c r="I45" s="52"/>
      <c r="J45" s="2"/>
      <c r="K45" s="2"/>
      <c r="L45" s="97"/>
      <c r="M45" s="180"/>
      <c r="N45" s="180"/>
    </row>
    <row r="46" spans="2:15" ht="14.2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5" ht="9" customHeight="1">
      <c r="B47" s="52"/>
      <c r="C47" s="53"/>
      <c r="D47" s="53"/>
      <c r="E47" s="219"/>
      <c r="F47" s="258"/>
      <c r="G47" s="258"/>
      <c r="H47" s="52"/>
      <c r="I47" s="52"/>
    </row>
    <row r="48" spans="2:15" ht="12.7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6"/>
    </row>
    <row r="49" spans="2:9" ht="9" customHeight="1">
      <c r="B49" s="54"/>
      <c r="C49" s="55"/>
      <c r="D49" s="55"/>
      <c r="E49" s="219"/>
      <c r="F49" s="183"/>
      <c r="G49" s="54"/>
      <c r="H49" s="56"/>
      <c r="I49" s="52"/>
    </row>
    <row r="50" spans="2:9" ht="15.7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  <c r="I50" s="3"/>
    </row>
  </sheetData>
  <mergeCells count="57">
    <mergeCell ref="B1:H1"/>
    <mergeCell ref="F44:G44"/>
    <mergeCell ref="G40:H40"/>
    <mergeCell ref="G41:H41"/>
    <mergeCell ref="G42:H42"/>
    <mergeCell ref="E40:F40"/>
    <mergeCell ref="E41:F41"/>
    <mergeCell ref="E42:F42"/>
    <mergeCell ref="D8:E8"/>
    <mergeCell ref="B2:H2"/>
    <mergeCell ref="B3:H3"/>
    <mergeCell ref="D24:D25"/>
    <mergeCell ref="B4:H4"/>
    <mergeCell ref="B5:H6"/>
    <mergeCell ref="B37:H37"/>
    <mergeCell ref="E38:F38"/>
    <mergeCell ref="G39:H39"/>
    <mergeCell ref="E24:E25"/>
    <mergeCell ref="F24:G24"/>
    <mergeCell ref="B23:H23"/>
    <mergeCell ref="H24:H25"/>
    <mergeCell ref="B24:B25"/>
    <mergeCell ref="C24:C25"/>
    <mergeCell ref="E39:F39"/>
    <mergeCell ref="C38:D38"/>
    <mergeCell ref="C39:D39"/>
    <mergeCell ref="G38:H38"/>
    <mergeCell ref="C19:D19"/>
    <mergeCell ref="E19:F19"/>
    <mergeCell ref="G19:H19"/>
    <mergeCell ref="C20:D20"/>
    <mergeCell ref="E20:F20"/>
    <mergeCell ref="G20:H20"/>
    <mergeCell ref="B16:H16"/>
    <mergeCell ref="C17:D17"/>
    <mergeCell ref="E17:F17"/>
    <mergeCell ref="G17:H17"/>
    <mergeCell ref="C18:D18"/>
    <mergeCell ref="E18:F18"/>
    <mergeCell ref="G18:H18"/>
    <mergeCell ref="C21:D21"/>
    <mergeCell ref="E21:F21"/>
    <mergeCell ref="G21:H21"/>
    <mergeCell ref="M23:M24"/>
    <mergeCell ref="N23:N24"/>
    <mergeCell ref="C48:E48"/>
    <mergeCell ref="F48:G48"/>
    <mergeCell ref="C50:E50"/>
    <mergeCell ref="C40:D40"/>
    <mergeCell ref="C41:D41"/>
    <mergeCell ref="C42:D42"/>
    <mergeCell ref="C44:E44"/>
    <mergeCell ref="C46:E46"/>
    <mergeCell ref="F50:G50"/>
    <mergeCell ref="F47:G47"/>
    <mergeCell ref="F45:G45"/>
    <mergeCell ref="F46:G46"/>
  </mergeCells>
  <printOptions horizontalCentered="1"/>
  <pageMargins left="0.19685039370078741" right="0.19685039370078741" top="0.15748031496062992" bottom="0.14000000000000001" header="0.16" footer="0.15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tabColor rgb="FF0070C0"/>
    <pageSetUpPr fitToPage="1"/>
  </sheetPr>
  <dimension ref="A1:N50"/>
  <sheetViews>
    <sheetView topLeftCell="B33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6.140625" style="1" customWidth="1"/>
    <col min="3" max="3" width="14.42578125" style="14" customWidth="1"/>
    <col min="4" max="4" width="8.7109375" style="3" customWidth="1"/>
    <col min="5" max="5" width="10.42578125" style="3" customWidth="1"/>
    <col min="6" max="6" width="10.140625" style="1" customWidth="1"/>
    <col min="7" max="7" width="10.28515625" style="1" customWidth="1"/>
    <col min="8" max="8" width="10.5703125" style="1" customWidth="1"/>
    <col min="9" max="9" width="15" style="1" customWidth="1"/>
    <col min="10" max="10" width="13.85546875" style="1" customWidth="1"/>
    <col min="11" max="12" width="9.140625" style="1"/>
    <col min="13" max="13" width="19.140625" style="179" customWidth="1"/>
    <col min="14" max="14" width="17.5703125" style="179" customWidth="1"/>
    <col min="15" max="16384" width="9.140625" style="1"/>
  </cols>
  <sheetData>
    <row r="1" spans="1:9">
      <c r="B1" s="262" t="s">
        <v>119</v>
      </c>
      <c r="C1" s="262"/>
      <c r="D1" s="262"/>
      <c r="E1" s="262"/>
      <c r="F1" s="262"/>
      <c r="G1" s="262"/>
      <c r="H1" s="262"/>
    </row>
    <row r="2" spans="1:9">
      <c r="B2" s="262" t="s">
        <v>120</v>
      </c>
      <c r="C2" s="262"/>
      <c r="D2" s="262"/>
      <c r="E2" s="262"/>
      <c r="F2" s="262"/>
      <c r="G2" s="262"/>
      <c r="H2" s="262"/>
    </row>
    <row r="3" spans="1:9">
      <c r="B3" s="262" t="s">
        <v>153</v>
      </c>
      <c r="C3" s="262"/>
      <c r="D3" s="262"/>
      <c r="E3" s="262"/>
      <c r="F3" s="262"/>
      <c r="G3" s="262"/>
      <c r="H3" s="262"/>
    </row>
    <row r="4" spans="1:9">
      <c r="B4" s="262" t="s">
        <v>174</v>
      </c>
      <c r="C4" s="262"/>
      <c r="D4" s="262"/>
      <c r="E4" s="262"/>
      <c r="F4" s="262"/>
      <c r="G4" s="262"/>
      <c r="H4" s="262"/>
    </row>
    <row r="5" spans="1:9" ht="23.25" customHeight="1">
      <c r="A5" s="67"/>
      <c r="B5" s="263" t="s">
        <v>175</v>
      </c>
      <c r="C5" s="263"/>
      <c r="D5" s="263"/>
      <c r="E5" s="263"/>
      <c r="F5" s="263"/>
      <c r="G5" s="263"/>
      <c r="H5" s="263"/>
    </row>
    <row r="6" spans="1:9" ht="20.25" customHeight="1">
      <c r="A6" s="67"/>
      <c r="B6" s="263"/>
      <c r="C6" s="263"/>
      <c r="D6" s="263"/>
      <c r="E6" s="263"/>
      <c r="F6" s="263"/>
      <c r="G6" s="263"/>
      <c r="H6" s="263"/>
    </row>
    <row r="7" spans="1:9" ht="8.25" customHeight="1"/>
    <row r="8" spans="1:9">
      <c r="B8" s="163" t="s">
        <v>0</v>
      </c>
      <c r="C8" s="164"/>
      <c r="D8" s="270" t="s">
        <v>25</v>
      </c>
      <c r="E8" s="270"/>
    </row>
    <row r="9" spans="1:9">
      <c r="B9" s="163" t="s">
        <v>1</v>
      </c>
      <c r="C9" s="164"/>
      <c r="D9" s="209">
        <v>1965</v>
      </c>
      <c r="E9" s="209"/>
    </row>
    <row r="10" spans="1:9" hidden="1" outlineLevel="1">
      <c r="B10" s="163" t="s">
        <v>2</v>
      </c>
      <c r="C10" s="164"/>
      <c r="D10" s="209">
        <v>4</v>
      </c>
      <c r="E10" s="209"/>
    </row>
    <row r="11" spans="1:9" hidden="1" outlineLevel="1">
      <c r="B11" s="163" t="s">
        <v>3</v>
      </c>
      <c r="C11" s="164"/>
      <c r="D11" s="209">
        <v>48</v>
      </c>
      <c r="E11" s="209"/>
    </row>
    <row r="12" spans="1:9" ht="30.75" hidden="1" customHeight="1" outlineLevel="1">
      <c r="B12" s="165" t="s">
        <v>4</v>
      </c>
      <c r="C12" s="166"/>
      <c r="D12" s="209" t="s">
        <v>26</v>
      </c>
      <c r="E12" s="209"/>
    </row>
    <row r="13" spans="1:9" collapsed="1">
      <c r="B13" s="163" t="s">
        <v>5</v>
      </c>
      <c r="C13" s="164"/>
      <c r="D13" s="209" t="s">
        <v>105</v>
      </c>
      <c r="E13" s="209"/>
      <c r="I13" s="5"/>
    </row>
    <row r="14" spans="1:9" hidden="1" outlineLevel="1">
      <c r="B14" s="1" t="s">
        <v>6</v>
      </c>
      <c r="D14" s="156" t="s">
        <v>7</v>
      </c>
      <c r="E14" s="156"/>
    </row>
    <row r="15" spans="1:9" ht="30.75" hidden="1" customHeight="1" outlineLevel="1">
      <c r="B15" s="15" t="s">
        <v>8</v>
      </c>
      <c r="C15" s="16"/>
      <c r="D15" s="210" t="s">
        <v>27</v>
      </c>
      <c r="E15" s="156"/>
      <c r="I15" s="5"/>
    </row>
    <row r="16" spans="1:9" ht="18.75" customHeight="1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</row>
    <row r="17" spans="2:14" ht="42.7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</row>
    <row r="18" spans="2:14">
      <c r="B18" s="150" t="s">
        <v>11</v>
      </c>
      <c r="C18" s="275">
        <v>4252090.0100000007</v>
      </c>
      <c r="D18" s="276"/>
      <c r="E18" s="237">
        <v>3097726.7700000009</v>
      </c>
      <c r="F18" s="238"/>
      <c r="G18" s="237">
        <v>1154363.2399999998</v>
      </c>
      <c r="H18" s="253"/>
      <c r="I18" s="5"/>
    </row>
    <row r="19" spans="2:14">
      <c r="B19" s="151" t="s">
        <v>12</v>
      </c>
      <c r="C19" s="239">
        <v>4098816.53</v>
      </c>
      <c r="D19" s="277"/>
      <c r="E19" s="239">
        <v>2989479.59</v>
      </c>
      <c r="F19" s="240"/>
      <c r="G19" s="239">
        <v>1109336.94</v>
      </c>
      <c r="H19" s="250"/>
      <c r="I19" s="5"/>
    </row>
    <row r="20" spans="2:14" ht="16.5" thickBot="1">
      <c r="B20" s="152" t="s">
        <v>88</v>
      </c>
      <c r="C20" s="278">
        <v>4244272.9592000004</v>
      </c>
      <c r="D20" s="279"/>
      <c r="E20" s="241">
        <v>3132903.9592000004</v>
      </c>
      <c r="F20" s="242"/>
      <c r="G20" s="241">
        <v>1111369</v>
      </c>
      <c r="H20" s="251"/>
      <c r="I20" s="5"/>
    </row>
    <row r="21" spans="2:14" ht="28.5" customHeight="1" thickBot="1">
      <c r="B21" s="153" t="s">
        <v>143</v>
      </c>
      <c r="C21" s="243">
        <f>E21+G21</f>
        <v>-145456.4292000006</v>
      </c>
      <c r="D21" s="244"/>
      <c r="E21" s="254">
        <f>E19-E20</f>
        <v>-143424.36920000054</v>
      </c>
      <c r="F21" s="255"/>
      <c r="G21" s="254">
        <f>G19-G20</f>
        <v>-2032.0600000000559</v>
      </c>
      <c r="H21" s="256"/>
      <c r="I21" s="5"/>
    </row>
    <row r="22" spans="2:14" ht="12.75" customHeight="1">
      <c r="B22" s="154"/>
      <c r="C22" s="155"/>
      <c r="D22" s="155"/>
      <c r="E22" s="146"/>
      <c r="F22" s="146"/>
      <c r="G22" s="146"/>
      <c r="H22" s="146"/>
      <c r="I22" s="5"/>
    </row>
    <row r="23" spans="2:14" ht="30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4" s="208" customFormat="1" ht="31.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I24" s="1"/>
      <c r="J24" s="1"/>
      <c r="K24" s="1"/>
      <c r="L24" s="5"/>
      <c r="M24" s="234"/>
      <c r="N24" s="234"/>
    </row>
    <row r="25" spans="2:14" s="2" customFormat="1" ht="40.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I25" s="1"/>
      <c r="J25" s="1"/>
      <c r="K25" s="1"/>
      <c r="L25" s="1"/>
      <c r="M25" s="201">
        <v>322813.69</v>
      </c>
      <c r="N25" s="201">
        <f>M25</f>
        <v>322813.69</v>
      </c>
    </row>
    <row r="26" spans="2:14" ht="40.5" customHeight="1">
      <c r="B26" s="19" t="s">
        <v>86</v>
      </c>
      <c r="C26" s="20" t="s">
        <v>97</v>
      </c>
      <c r="D26" s="21" t="s">
        <v>98</v>
      </c>
      <c r="E26" s="22">
        <v>1.72</v>
      </c>
      <c r="F26" s="23">
        <f>$M$25/$M$26*E26</f>
        <v>38611.929541029211</v>
      </c>
      <c r="G26" s="24">
        <f>$N$25/$N$26*E26</f>
        <v>38611.929541029211</v>
      </c>
      <c r="H26" s="25">
        <f>F26-G26</f>
        <v>0</v>
      </c>
      <c r="I26" s="26"/>
      <c r="J26" s="208"/>
      <c r="K26" s="208"/>
      <c r="L26" s="27"/>
      <c r="M26" s="203">
        <f>E35-E33</f>
        <v>14.379999999999999</v>
      </c>
      <c r="N26" s="203">
        <f>M26</f>
        <v>14.379999999999999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1.9</v>
      </c>
      <c r="F27" s="23">
        <f t="shared" ref="F27:F34" si="0">$M$25/$M$26*E27</f>
        <v>42652.712865090405</v>
      </c>
      <c r="G27" s="24">
        <f t="shared" ref="G27:G31" si="1">$N$25/$N$26*E27</f>
        <v>42652.712865090405</v>
      </c>
      <c r="H27" s="25">
        <f t="shared" ref="H27:H32" si="2">F27-G27</f>
        <v>0</v>
      </c>
      <c r="I27" s="31"/>
      <c r="J27" s="2"/>
      <c r="K27" s="2"/>
      <c r="L27" s="2"/>
      <c r="M27" s="180"/>
      <c r="N27" s="180"/>
    </row>
    <row r="28" spans="2:14" ht="30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7183.6147983310166</v>
      </c>
      <c r="G28" s="24">
        <f t="shared" si="1"/>
        <v>7183.6147983310166</v>
      </c>
      <c r="H28" s="25">
        <f t="shared" si="2"/>
        <v>0</v>
      </c>
      <c r="I28" s="33"/>
      <c r="L28" s="5"/>
    </row>
    <row r="29" spans="2:14" ht="25.5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13020.301821974967</v>
      </c>
      <c r="G29" s="24">
        <f t="shared" si="1"/>
        <v>13020.301821974967</v>
      </c>
      <c r="H29" s="25">
        <f t="shared" si="2"/>
        <v>0</v>
      </c>
      <c r="I29" s="33"/>
      <c r="L29" s="5"/>
    </row>
    <row r="30" spans="2:14" s="2" customFormat="1" ht="51">
      <c r="B30" s="28" t="s">
        <v>87</v>
      </c>
      <c r="C30" s="20" t="s">
        <v>134</v>
      </c>
      <c r="D30" s="21" t="s">
        <v>98</v>
      </c>
      <c r="E30" s="29">
        <v>1.49</v>
      </c>
      <c r="F30" s="23">
        <f t="shared" si="0"/>
        <v>33448.706404728793</v>
      </c>
      <c r="G30" s="24">
        <f t="shared" si="1"/>
        <v>33448.706404728793</v>
      </c>
      <c r="H30" s="25">
        <f t="shared" si="2"/>
        <v>0</v>
      </c>
      <c r="I30" s="33"/>
      <c r="J30" s="1"/>
      <c r="K30" s="1"/>
      <c r="L30" s="1"/>
      <c r="M30" s="179"/>
      <c r="N30" s="179"/>
    </row>
    <row r="31" spans="2:14" ht="213.75" customHeight="1">
      <c r="B31" s="28" t="s">
        <v>121</v>
      </c>
      <c r="C31" s="20" t="s">
        <v>100</v>
      </c>
      <c r="D31" s="21" t="s">
        <v>98</v>
      </c>
      <c r="E31" s="29">
        <v>6.65</v>
      </c>
      <c r="F31" s="23">
        <f t="shared" si="0"/>
        <v>149284.49502781645</v>
      </c>
      <c r="G31" s="24">
        <f t="shared" si="1"/>
        <v>149284.49502781645</v>
      </c>
      <c r="H31" s="25">
        <f t="shared" si="2"/>
        <v>0</v>
      </c>
      <c r="I31" s="31"/>
      <c r="J31" s="2"/>
      <c r="K31" s="2"/>
      <c r="L31" s="4"/>
      <c r="M31" s="180"/>
      <c r="N31" s="180"/>
    </row>
    <row r="32" spans="2:14" ht="105.7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6285.6629485396397</v>
      </c>
      <c r="G32" s="24">
        <f t="shared" ref="G32" si="3">$N$25/$N$26*E32</f>
        <v>6285.6629485396397</v>
      </c>
      <c r="H32" s="25">
        <f t="shared" si="2"/>
        <v>0</v>
      </c>
      <c r="I32" s="33"/>
    </row>
    <row r="33" spans="2:14" ht="27.75" customHeight="1">
      <c r="B33" s="32" t="s">
        <v>91</v>
      </c>
      <c r="C33" s="20" t="s">
        <v>97</v>
      </c>
      <c r="D33" s="21" t="s">
        <v>98</v>
      </c>
      <c r="E33" s="29">
        <v>5</v>
      </c>
      <c r="F33" s="23">
        <v>112330.64</v>
      </c>
      <c r="G33" s="30">
        <v>155985</v>
      </c>
      <c r="H33" s="25">
        <f>F33-G33</f>
        <v>-43654.36</v>
      </c>
      <c r="I33" s="33"/>
      <c r="L33" s="5"/>
    </row>
    <row r="34" spans="2:14" s="66" customFormat="1" ht="18" customHeight="1" thickBot="1">
      <c r="B34" s="62" t="s">
        <v>85</v>
      </c>
      <c r="C34" s="36" t="s">
        <v>100</v>
      </c>
      <c r="D34" s="37" t="s">
        <v>98</v>
      </c>
      <c r="E34" s="38">
        <v>1.44</v>
      </c>
      <c r="F34" s="23">
        <f t="shared" si="0"/>
        <v>32326.26659248957</v>
      </c>
      <c r="G34" s="24">
        <f t="shared" ref="G34" si="4">$N$25/$N$26*E34</f>
        <v>32326.26659248957</v>
      </c>
      <c r="H34" s="25">
        <f>F34-G34</f>
        <v>0</v>
      </c>
      <c r="I34" s="33"/>
      <c r="J34" s="1"/>
      <c r="K34" s="1"/>
      <c r="L34" s="1"/>
      <c r="M34" s="179"/>
      <c r="N34" s="179"/>
    </row>
    <row r="35" spans="2:14" s="3" customFormat="1" ht="16.5" thickBot="1">
      <c r="B35" s="39" t="s">
        <v>89</v>
      </c>
      <c r="C35" s="40"/>
      <c r="D35" s="40"/>
      <c r="E35" s="41">
        <f>SUM(E26:E34)</f>
        <v>19.38</v>
      </c>
      <c r="F35" s="42">
        <f>SUM(F26:F34)</f>
        <v>435144.33000000007</v>
      </c>
      <c r="G35" s="43">
        <f>SUM(G26:G34)</f>
        <v>478798.69000000006</v>
      </c>
      <c r="H35" s="44">
        <f>SUM(H26:H34)</f>
        <v>-43654.36</v>
      </c>
      <c r="I35" s="65"/>
      <c r="J35" s="5"/>
      <c r="K35" s="1"/>
      <c r="L35" s="1"/>
      <c r="M35" s="179"/>
      <c r="N35" s="179"/>
    </row>
    <row r="36" spans="2:14">
      <c r="B36" s="5"/>
      <c r="C36" s="5"/>
      <c r="D36" s="5"/>
      <c r="E36" s="14"/>
      <c r="F36" s="14"/>
      <c r="G36" s="14"/>
      <c r="H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4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57"/>
      <c r="J38" s="158"/>
      <c r="K38" s="46"/>
      <c r="L38" s="47"/>
      <c r="M38" s="181"/>
      <c r="N38" s="181"/>
    </row>
    <row r="39" spans="2:14">
      <c r="B39" s="150" t="s">
        <v>11</v>
      </c>
      <c r="C39" s="237">
        <f>E39+G39</f>
        <v>4687234.3400000008</v>
      </c>
      <c r="D39" s="238"/>
      <c r="E39" s="237">
        <f>F26+F27+F28+F29+F30+F31+F32+F34+E18</f>
        <v>3420540.4600000009</v>
      </c>
      <c r="F39" s="238"/>
      <c r="G39" s="237">
        <f>F33+G18</f>
        <v>1266693.8799999997</v>
      </c>
      <c r="H39" s="253"/>
      <c r="I39" s="159"/>
      <c r="J39" s="160"/>
      <c r="K39" s="49"/>
      <c r="L39" s="49"/>
      <c r="M39" s="204"/>
    </row>
    <row r="40" spans="2:14" s="2" customFormat="1">
      <c r="B40" s="151" t="s">
        <v>12</v>
      </c>
      <c r="C40" s="239">
        <f>E40+G40</f>
        <v>4556636.95</v>
      </c>
      <c r="D40" s="240"/>
      <c r="E40" s="239">
        <f>E19+325232.53</f>
        <v>3314712.12</v>
      </c>
      <c r="F40" s="240"/>
      <c r="G40" s="239">
        <f>G19+132587.89</f>
        <v>1241924.83</v>
      </c>
      <c r="H40" s="250"/>
      <c r="I40" s="159"/>
      <c r="J40" s="161"/>
      <c r="K40" s="51"/>
      <c r="L40" s="49"/>
      <c r="M40" s="204"/>
      <c r="N40" s="179"/>
    </row>
    <row r="41" spans="2:14" s="2" customFormat="1" ht="17.25" customHeight="1" thickBot="1">
      <c r="B41" s="152" t="s">
        <v>88</v>
      </c>
      <c r="C41" s="241">
        <f>E41+G41</f>
        <v>4723071.6491999999</v>
      </c>
      <c r="D41" s="242"/>
      <c r="E41" s="241">
        <f>G26+G27+G28+G29+G30+G31+G32+G34+E20</f>
        <v>3455717.6492000003</v>
      </c>
      <c r="F41" s="242"/>
      <c r="G41" s="241">
        <f>G33+G20</f>
        <v>1267354</v>
      </c>
      <c r="H41" s="251"/>
      <c r="I41" s="159"/>
      <c r="J41" s="48"/>
      <c r="K41" s="33"/>
      <c r="L41" s="33"/>
      <c r="M41" s="179"/>
      <c r="N41" s="179"/>
    </row>
    <row r="42" spans="2:14" s="2" customFormat="1" ht="28.5" customHeight="1" thickBot="1">
      <c r="B42" s="153" t="s">
        <v>144</v>
      </c>
      <c r="C42" s="243">
        <f>E42+G42</f>
        <v>-166434.69920000015</v>
      </c>
      <c r="D42" s="244"/>
      <c r="E42" s="254">
        <f>E40-E41</f>
        <v>-141005.52920000022</v>
      </c>
      <c r="F42" s="255"/>
      <c r="G42" s="254">
        <f>G40-G41</f>
        <v>-25429.169999999925</v>
      </c>
      <c r="H42" s="256"/>
      <c r="I42" s="162"/>
      <c r="J42" s="147"/>
      <c r="K42" s="33"/>
      <c r="L42" s="33"/>
      <c r="M42" s="179"/>
      <c r="N42" s="179"/>
    </row>
    <row r="43" spans="2:14" ht="20.25" customHeight="1">
      <c r="B43" s="76"/>
      <c r="C43" s="145"/>
      <c r="D43" s="145"/>
      <c r="E43" s="147"/>
      <c r="F43" s="147"/>
      <c r="G43" s="147"/>
      <c r="H43" s="147"/>
      <c r="I43" s="52"/>
      <c r="J43" s="2"/>
      <c r="K43" s="2"/>
      <c r="L43" s="2"/>
      <c r="M43" s="180"/>
      <c r="N43" s="180"/>
    </row>
    <row r="44" spans="2:14" ht="16.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52"/>
      <c r="J44" s="2"/>
      <c r="K44" s="2"/>
      <c r="L44" s="2"/>
      <c r="M44" s="180"/>
      <c r="N44" s="180"/>
    </row>
    <row r="45" spans="2:14" ht="8.25" customHeight="1">
      <c r="B45" s="52"/>
      <c r="C45" s="53"/>
      <c r="D45" s="53"/>
      <c r="E45" s="219"/>
      <c r="F45" s="259"/>
      <c r="G45" s="259"/>
      <c r="H45" s="52"/>
      <c r="I45" s="52"/>
      <c r="J45" s="2"/>
      <c r="K45" s="2"/>
      <c r="L45" s="2"/>
      <c r="M45" s="180"/>
      <c r="N45" s="180"/>
    </row>
    <row r="46" spans="2:14" ht="15.7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4" ht="9.75" customHeight="1">
      <c r="B47" s="52"/>
      <c r="C47" s="53"/>
      <c r="D47" s="53"/>
      <c r="E47" s="219"/>
      <c r="F47" s="258"/>
      <c r="G47" s="258"/>
      <c r="H47" s="52"/>
      <c r="I47" s="52"/>
    </row>
    <row r="48" spans="2:14" ht="1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52"/>
    </row>
    <row r="49" spans="2:9" ht="10.5" customHeight="1">
      <c r="B49" s="54"/>
      <c r="C49" s="55"/>
      <c r="D49" s="55"/>
      <c r="E49" s="219"/>
      <c r="F49" s="183"/>
      <c r="G49" s="54"/>
      <c r="H49" s="56"/>
      <c r="I49" s="52"/>
    </row>
    <row r="50" spans="2:9" ht="12.7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  <c r="I50" s="52"/>
    </row>
  </sheetData>
  <mergeCells count="57">
    <mergeCell ref="B2:H2"/>
    <mergeCell ref="B3:H3"/>
    <mergeCell ref="B4:H4"/>
    <mergeCell ref="B1:H1"/>
    <mergeCell ref="F50:G50"/>
    <mergeCell ref="B5:H6"/>
    <mergeCell ref="F47:G47"/>
    <mergeCell ref="F45:G45"/>
    <mergeCell ref="F46:G46"/>
    <mergeCell ref="B37:H37"/>
    <mergeCell ref="F44:G44"/>
    <mergeCell ref="G40:H40"/>
    <mergeCell ref="G41:H41"/>
    <mergeCell ref="G42:H42"/>
    <mergeCell ref="E41:F41"/>
    <mergeCell ref="E42:F42"/>
    <mergeCell ref="D8:E8"/>
    <mergeCell ref="B23:H23"/>
    <mergeCell ref="B24:B25"/>
    <mergeCell ref="C24:C25"/>
    <mergeCell ref="D24:D25"/>
    <mergeCell ref="E24:E25"/>
    <mergeCell ref="F24:G24"/>
    <mergeCell ref="H24:H25"/>
    <mergeCell ref="B16:H16"/>
    <mergeCell ref="C17:D17"/>
    <mergeCell ref="E17:F17"/>
    <mergeCell ref="G17:H17"/>
    <mergeCell ref="C18:D18"/>
    <mergeCell ref="E18:F18"/>
    <mergeCell ref="G18:H18"/>
    <mergeCell ref="C19:D19"/>
    <mergeCell ref="G39:H39"/>
    <mergeCell ref="C38:D38"/>
    <mergeCell ref="C39:D39"/>
    <mergeCell ref="E38:F38"/>
    <mergeCell ref="E40:F40"/>
    <mergeCell ref="G38:H38"/>
    <mergeCell ref="E39:F39"/>
    <mergeCell ref="E19:F19"/>
    <mergeCell ref="G19:H19"/>
    <mergeCell ref="C20:D20"/>
    <mergeCell ref="E20:F20"/>
    <mergeCell ref="G20:H20"/>
    <mergeCell ref="C21:D21"/>
    <mergeCell ref="E21:F21"/>
    <mergeCell ref="G21:H21"/>
    <mergeCell ref="M23:M24"/>
    <mergeCell ref="N23:N24"/>
    <mergeCell ref="C48:E48"/>
    <mergeCell ref="F48:G48"/>
    <mergeCell ref="C50:E50"/>
    <mergeCell ref="C40:D40"/>
    <mergeCell ref="C41:D41"/>
    <mergeCell ref="C42:D42"/>
    <mergeCell ref="C44:E44"/>
    <mergeCell ref="C46:E46"/>
  </mergeCells>
  <printOptions horizontalCentered="1"/>
  <pageMargins left="0.19685039370078741" right="0.19685039370078741" top="0.16" bottom="0.24" header="0.16" footer="0.24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tabColor rgb="FF0070C0"/>
    <pageSetUpPr fitToPage="1"/>
  </sheetPr>
  <dimension ref="A1:N51"/>
  <sheetViews>
    <sheetView topLeftCell="A33" zoomScale="110" zoomScaleNormal="110" workbookViewId="0">
      <selection activeCell="B1" sqref="B1:H50"/>
    </sheetView>
  </sheetViews>
  <sheetFormatPr defaultColWidth="9.140625" defaultRowHeight="15.75"/>
  <cols>
    <col min="1" max="1" width="2.85546875" style="1" customWidth="1"/>
    <col min="2" max="2" width="55.85546875" style="1" customWidth="1"/>
    <col min="3" max="3" width="14.140625" style="14" customWidth="1"/>
    <col min="4" max="4" width="8.5703125" style="3" customWidth="1"/>
    <col min="5" max="5" width="10" style="3" customWidth="1"/>
    <col min="6" max="6" width="10.42578125" style="1" customWidth="1"/>
    <col min="7" max="7" width="10.28515625" style="1" customWidth="1"/>
    <col min="8" max="8" width="10.85546875" style="1" customWidth="1"/>
    <col min="9" max="9" width="14.7109375" style="1" customWidth="1"/>
    <col min="10" max="10" width="15.140625" style="1" customWidth="1"/>
    <col min="11" max="12" width="9.140625" style="1"/>
    <col min="13" max="13" width="18.7109375" style="179" customWidth="1"/>
    <col min="14" max="14" width="17" style="179" customWidth="1"/>
    <col min="15" max="16384" width="9.140625" style="1"/>
  </cols>
  <sheetData>
    <row r="1" spans="1:8">
      <c r="B1" s="262" t="s">
        <v>119</v>
      </c>
      <c r="C1" s="262"/>
      <c r="D1" s="262"/>
      <c r="E1" s="262"/>
      <c r="F1" s="262"/>
      <c r="G1" s="262"/>
      <c r="H1" s="262"/>
    </row>
    <row r="2" spans="1:8">
      <c r="B2" s="262" t="s">
        <v>120</v>
      </c>
      <c r="C2" s="262"/>
      <c r="D2" s="262"/>
      <c r="E2" s="262"/>
      <c r="F2" s="262"/>
      <c r="G2" s="262"/>
      <c r="H2" s="262"/>
    </row>
    <row r="3" spans="1:8">
      <c r="B3" s="262" t="s">
        <v>154</v>
      </c>
      <c r="C3" s="262"/>
      <c r="D3" s="262"/>
      <c r="E3" s="262"/>
      <c r="F3" s="262"/>
      <c r="G3" s="262"/>
      <c r="H3" s="262"/>
    </row>
    <row r="4" spans="1:8">
      <c r="B4" s="262" t="s">
        <v>174</v>
      </c>
      <c r="C4" s="262"/>
      <c r="D4" s="262"/>
      <c r="E4" s="262"/>
      <c r="F4" s="262"/>
      <c r="G4" s="262"/>
      <c r="H4" s="262"/>
    </row>
    <row r="5" spans="1:8" ht="27.75" customHeight="1">
      <c r="A5" s="68"/>
      <c r="B5" s="263" t="s">
        <v>175</v>
      </c>
      <c r="C5" s="263"/>
      <c r="D5" s="263"/>
      <c r="E5" s="263"/>
      <c r="F5" s="263"/>
      <c r="G5" s="263"/>
      <c r="H5" s="263"/>
    </row>
    <row r="6" spans="1:8" ht="15.75" customHeight="1">
      <c r="A6" s="68"/>
      <c r="B6" s="263"/>
      <c r="C6" s="263"/>
      <c r="D6" s="263"/>
      <c r="E6" s="263"/>
      <c r="F6" s="263"/>
      <c r="G6" s="263"/>
      <c r="H6" s="263"/>
    </row>
    <row r="7" spans="1:8" ht="8.25" customHeight="1">
      <c r="B7" s="67"/>
      <c r="C7" s="67"/>
      <c r="D7" s="67"/>
      <c r="E7" s="67"/>
      <c r="F7" s="67"/>
      <c r="G7" s="67"/>
    </row>
    <row r="8" spans="1:8">
      <c r="B8" s="163" t="s">
        <v>0</v>
      </c>
      <c r="C8" s="164"/>
      <c r="D8" s="171" t="s">
        <v>28</v>
      </c>
      <c r="E8" s="171"/>
    </row>
    <row r="9" spans="1:8">
      <c r="B9" s="163" t="s">
        <v>1</v>
      </c>
      <c r="C9" s="164"/>
      <c r="D9" s="209">
        <v>1963</v>
      </c>
      <c r="E9" s="209"/>
    </row>
    <row r="10" spans="1:8" ht="15.75" hidden="1" customHeight="1">
      <c r="B10" s="163" t="s">
        <v>2</v>
      </c>
      <c r="C10" s="164"/>
      <c r="D10" s="209">
        <v>4</v>
      </c>
      <c r="E10" s="209"/>
    </row>
    <row r="11" spans="1:8" ht="15.75" hidden="1" customHeight="1">
      <c r="B11" s="163" t="s">
        <v>3</v>
      </c>
      <c r="C11" s="164"/>
      <c r="D11" s="209">
        <v>32</v>
      </c>
      <c r="E11" s="209"/>
    </row>
    <row r="12" spans="1:8" ht="30.75" hidden="1" customHeight="1">
      <c r="B12" s="165" t="s">
        <v>4</v>
      </c>
      <c r="C12" s="166"/>
      <c r="D12" s="209" t="s">
        <v>29</v>
      </c>
      <c r="E12" s="209"/>
    </row>
    <row r="13" spans="1:8">
      <c r="B13" s="163" t="s">
        <v>5</v>
      </c>
      <c r="C13" s="164"/>
      <c r="D13" s="209" t="s">
        <v>106</v>
      </c>
      <c r="E13" s="209"/>
      <c r="H13" s="5"/>
    </row>
    <row r="14" spans="1:8" ht="15.75" hidden="1" customHeight="1">
      <c r="B14" s="1" t="s">
        <v>6</v>
      </c>
      <c r="D14" s="156" t="s">
        <v>7</v>
      </c>
      <c r="E14" s="156"/>
    </row>
    <row r="15" spans="1:8" ht="30.75" hidden="1" customHeight="1">
      <c r="B15" s="15" t="s">
        <v>8</v>
      </c>
      <c r="C15" s="16"/>
      <c r="D15" s="210" t="s">
        <v>18</v>
      </c>
      <c r="E15" s="156"/>
      <c r="H15" s="5"/>
    </row>
    <row r="16" spans="1:8" ht="16.5" thickBot="1">
      <c r="B16" s="249" t="s">
        <v>172</v>
      </c>
      <c r="C16" s="249"/>
      <c r="D16" s="249"/>
      <c r="E16" s="249"/>
      <c r="F16" s="249"/>
      <c r="G16" s="249"/>
      <c r="H16" s="249"/>
    </row>
    <row r="17" spans="2:14" ht="48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</row>
    <row r="18" spans="2:14">
      <c r="B18" s="150" t="s">
        <v>11</v>
      </c>
      <c r="C18" s="275">
        <v>2921933.71</v>
      </c>
      <c r="D18" s="280"/>
      <c r="E18" s="275">
        <v>2193583.21</v>
      </c>
      <c r="F18" s="280"/>
      <c r="G18" s="275">
        <v>728350.50000000012</v>
      </c>
      <c r="H18" s="281"/>
    </row>
    <row r="19" spans="2:14">
      <c r="B19" s="151" t="s">
        <v>12</v>
      </c>
      <c r="C19" s="239">
        <v>2690665.94</v>
      </c>
      <c r="D19" s="240"/>
      <c r="E19" s="239">
        <v>2020510.21</v>
      </c>
      <c r="F19" s="240"/>
      <c r="G19" s="239">
        <v>670155.73</v>
      </c>
      <c r="H19" s="250"/>
    </row>
    <row r="20" spans="2:14" ht="16.5" thickBot="1">
      <c r="B20" s="152" t="s">
        <v>88</v>
      </c>
      <c r="C20" s="278">
        <v>3070568.0220999997</v>
      </c>
      <c r="D20" s="284"/>
      <c r="E20" s="278">
        <v>2231943.0220999997</v>
      </c>
      <c r="F20" s="284"/>
      <c r="G20" s="278">
        <v>838625</v>
      </c>
      <c r="H20" s="283"/>
    </row>
    <row r="21" spans="2:14" ht="31.5" customHeight="1" thickBot="1">
      <c r="B21" s="153" t="s">
        <v>143</v>
      </c>
      <c r="C21" s="243">
        <f>E21+G21</f>
        <v>-379902.08209999977</v>
      </c>
      <c r="D21" s="244"/>
      <c r="E21" s="254">
        <f>E19-E20</f>
        <v>-211432.81209999975</v>
      </c>
      <c r="F21" s="255"/>
      <c r="G21" s="254">
        <f>G19-G20</f>
        <v>-168469.27000000002</v>
      </c>
      <c r="H21" s="256"/>
    </row>
    <row r="22" spans="2:14">
      <c r="B22" s="15"/>
      <c r="C22" s="16"/>
      <c r="D22" s="210"/>
      <c r="E22" s="156"/>
      <c r="H22" s="5"/>
    </row>
    <row r="23" spans="2:14" ht="34.5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4" ht="33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5"/>
      <c r="M24" s="234"/>
      <c r="N24" s="234"/>
    </row>
    <row r="25" spans="2:14" s="208" customFormat="1" ht="43.9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I25" s="1"/>
      <c r="J25" s="1"/>
      <c r="K25" s="1"/>
      <c r="L25" s="1"/>
      <c r="M25" s="201">
        <v>245775.54</v>
      </c>
      <c r="N25" s="201">
        <f>M25</f>
        <v>245775.54</v>
      </c>
    </row>
    <row r="26" spans="2:14" s="2" customFormat="1" ht="39.75" customHeight="1">
      <c r="B26" s="19" t="s">
        <v>86</v>
      </c>
      <c r="C26" s="20" t="s">
        <v>97</v>
      </c>
      <c r="D26" s="21" t="s">
        <v>98</v>
      </c>
      <c r="E26" s="22">
        <v>1.64</v>
      </c>
      <c r="F26" s="23">
        <f>$M$25/$M$26*E26</f>
        <v>28935.526604450824</v>
      </c>
      <c r="G26" s="24">
        <f>$N$25/$N$26*E26</f>
        <v>28935.526604450824</v>
      </c>
      <c r="H26" s="25">
        <f>F26-G26</f>
        <v>0</v>
      </c>
      <c r="I26" s="26"/>
      <c r="J26" s="208"/>
      <c r="K26" s="208"/>
      <c r="L26" s="27"/>
      <c r="M26" s="203">
        <f>E35-E33</f>
        <v>13.93</v>
      </c>
      <c r="N26" s="203">
        <f>M26</f>
        <v>13.93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1.8</v>
      </c>
      <c r="F27" s="23">
        <f t="shared" ref="F27:F34" si="0">$M$25/$M$26*E27</f>
        <v>31758.504809763101</v>
      </c>
      <c r="G27" s="24">
        <f t="shared" ref="G27:G31" si="1">$N$25/$N$26*E27</f>
        <v>31758.504809763101</v>
      </c>
      <c r="H27" s="25">
        <f t="shared" ref="H27:H32" si="2">F27-G27</f>
        <v>0</v>
      </c>
      <c r="I27" s="31"/>
      <c r="J27" s="2"/>
      <c r="K27" s="2"/>
      <c r="L27" s="2"/>
      <c r="M27" s="180"/>
      <c r="N27" s="180"/>
    </row>
    <row r="28" spans="2:14" ht="32.2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5645.9564106245516</v>
      </c>
      <c r="G28" s="24">
        <f t="shared" si="1"/>
        <v>5645.9564106245516</v>
      </c>
      <c r="H28" s="25">
        <f t="shared" si="2"/>
        <v>0</v>
      </c>
      <c r="I28" s="33"/>
      <c r="L28" s="5"/>
    </row>
    <row r="29" spans="2:14" ht="25.5">
      <c r="B29" s="32" t="s">
        <v>84</v>
      </c>
      <c r="C29" s="34" t="s">
        <v>99</v>
      </c>
      <c r="D29" s="21" t="s">
        <v>98</v>
      </c>
      <c r="E29" s="29">
        <v>0.55000000000000004</v>
      </c>
      <c r="F29" s="23">
        <f t="shared" si="0"/>
        <v>9703.9875807609478</v>
      </c>
      <c r="G29" s="24">
        <f t="shared" si="1"/>
        <v>9703.9875807609478</v>
      </c>
      <c r="H29" s="25">
        <f t="shared" si="2"/>
        <v>0</v>
      </c>
      <c r="I29" s="33"/>
      <c r="L29" s="5"/>
    </row>
    <row r="30" spans="2:14" ht="51">
      <c r="B30" s="28" t="s">
        <v>87</v>
      </c>
      <c r="C30" s="20" t="s">
        <v>134</v>
      </c>
      <c r="D30" s="21" t="s">
        <v>98</v>
      </c>
      <c r="E30" s="29">
        <v>1.46</v>
      </c>
      <c r="F30" s="23">
        <f t="shared" si="0"/>
        <v>25759.676123474514</v>
      </c>
      <c r="G30" s="24">
        <f t="shared" si="1"/>
        <v>25759.676123474514</v>
      </c>
      <c r="H30" s="25">
        <f t="shared" si="2"/>
        <v>0</v>
      </c>
      <c r="I30" s="33"/>
    </row>
    <row r="31" spans="2:14" s="2" customFormat="1" ht="215.2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115389.23414213926</v>
      </c>
      <c r="G31" s="24">
        <f t="shared" si="1"/>
        <v>115389.23414213926</v>
      </c>
      <c r="H31" s="25">
        <f t="shared" si="2"/>
        <v>0</v>
      </c>
      <c r="I31" s="31"/>
      <c r="L31" s="4"/>
      <c r="M31" s="180"/>
      <c r="N31" s="180"/>
    </row>
    <row r="32" spans="2:14" ht="102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4940.2118592964825</v>
      </c>
      <c r="G32" s="24">
        <f t="shared" ref="G32" si="3">$N$25/$N$26*E32</f>
        <v>4940.2118592964825</v>
      </c>
      <c r="H32" s="25">
        <f t="shared" si="2"/>
        <v>0</v>
      </c>
      <c r="I32" s="33"/>
    </row>
    <row r="33" spans="2:14" ht="30.75" customHeight="1">
      <c r="B33" s="32" t="s">
        <v>91</v>
      </c>
      <c r="C33" s="20" t="s">
        <v>97</v>
      </c>
      <c r="D33" s="21" t="s">
        <v>98</v>
      </c>
      <c r="E33" s="29">
        <v>4.2</v>
      </c>
      <c r="F33" s="23">
        <v>74103.179999999993</v>
      </c>
      <c r="G33" s="30">
        <v>15273</v>
      </c>
      <c r="H33" s="25">
        <f>F33-G33</f>
        <v>58830.179999999993</v>
      </c>
      <c r="I33" s="33"/>
      <c r="L33" s="5"/>
    </row>
    <row r="34" spans="2:14" s="66" customFormat="1" ht="18" customHeight="1" thickBot="1">
      <c r="B34" s="62" t="s">
        <v>85</v>
      </c>
      <c r="C34" s="36" t="s">
        <v>100</v>
      </c>
      <c r="D34" s="37" t="s">
        <v>98</v>
      </c>
      <c r="E34" s="38">
        <v>1.34</v>
      </c>
      <c r="F34" s="23">
        <f t="shared" si="0"/>
        <v>23642.44246949031</v>
      </c>
      <c r="G34" s="24">
        <f t="shared" ref="G34" si="4">$N$25/$N$26*E34</f>
        <v>23642.44246949031</v>
      </c>
      <c r="H34" s="25">
        <f>F34-G34</f>
        <v>0</v>
      </c>
      <c r="I34" s="33"/>
      <c r="J34" s="5"/>
      <c r="K34" s="1"/>
      <c r="L34" s="1"/>
      <c r="M34" s="179"/>
      <c r="N34" s="179"/>
    </row>
    <row r="35" spans="2:14" s="3" customFormat="1" ht="16.5" thickBot="1">
      <c r="B35" s="39" t="s">
        <v>89</v>
      </c>
      <c r="C35" s="40"/>
      <c r="D35" s="40"/>
      <c r="E35" s="41">
        <f>SUM(E26:E34)</f>
        <v>18.13</v>
      </c>
      <c r="F35" s="42">
        <f>SUM(F26:F34)</f>
        <v>319878.71999999997</v>
      </c>
      <c r="G35" s="43">
        <f>SUM(G26:G34)</f>
        <v>261048.54</v>
      </c>
      <c r="H35" s="44">
        <f>SUM(H26:H34)</f>
        <v>58830.179999999993</v>
      </c>
      <c r="I35" s="65"/>
      <c r="J35" s="5"/>
      <c r="K35" s="5"/>
      <c r="L35" s="1"/>
      <c r="M35" s="179"/>
      <c r="N35" s="179"/>
    </row>
    <row r="36" spans="2:14">
      <c r="B36" s="5"/>
      <c r="C36" s="5"/>
      <c r="D36" s="5"/>
      <c r="E36" s="14"/>
      <c r="F36" s="14"/>
      <c r="G36" s="14"/>
      <c r="H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55.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69"/>
      <c r="J38" s="158"/>
      <c r="K38" s="46"/>
      <c r="L38" s="47"/>
      <c r="M38" s="181"/>
      <c r="N38" s="181"/>
    </row>
    <row r="39" spans="2:14">
      <c r="B39" s="150" t="s">
        <v>11</v>
      </c>
      <c r="C39" s="275">
        <f>E39+G39</f>
        <v>3241812.43</v>
      </c>
      <c r="D39" s="280"/>
      <c r="E39" s="275">
        <f>F26+F27+F28+F29+F30+F31+F32+F34+E18</f>
        <v>2439358.75</v>
      </c>
      <c r="F39" s="280"/>
      <c r="G39" s="275">
        <f>F33+G18</f>
        <v>802453.68000000017</v>
      </c>
      <c r="H39" s="281"/>
      <c r="I39" s="159"/>
      <c r="J39" s="160"/>
      <c r="K39" s="49"/>
      <c r="L39" s="49"/>
      <c r="M39" s="204"/>
    </row>
    <row r="40" spans="2:14" s="2" customFormat="1">
      <c r="B40" s="151" t="s">
        <v>12</v>
      </c>
      <c r="C40" s="239">
        <f>E40+G40</f>
        <v>2980841.8099999996</v>
      </c>
      <c r="D40" s="240"/>
      <c r="E40" s="239">
        <f>E19+218977.3</f>
        <v>2239487.5099999998</v>
      </c>
      <c r="F40" s="240"/>
      <c r="G40" s="239">
        <f>G19+71198.57</f>
        <v>741354.3</v>
      </c>
      <c r="H40" s="250"/>
      <c r="I40" s="159"/>
      <c r="J40" s="161"/>
      <c r="K40" s="51"/>
      <c r="L40" s="49"/>
      <c r="M40" s="204"/>
      <c r="N40" s="179"/>
    </row>
    <row r="41" spans="2:14" s="2" customFormat="1" ht="16.5" thickBot="1">
      <c r="B41" s="152" t="s">
        <v>88</v>
      </c>
      <c r="C41" s="278">
        <f>E41+G41</f>
        <v>3331616.5620999997</v>
      </c>
      <c r="D41" s="284"/>
      <c r="E41" s="278">
        <f>G26+G27+G28+G29+G30+G31+G32+G34+E20</f>
        <v>2477718.5620999997</v>
      </c>
      <c r="F41" s="284"/>
      <c r="G41" s="278">
        <f>G33+G20</f>
        <v>853898</v>
      </c>
      <c r="H41" s="283"/>
      <c r="I41" s="159"/>
      <c r="J41" s="48"/>
      <c r="K41" s="33"/>
      <c r="L41" s="33"/>
      <c r="M41" s="179"/>
      <c r="N41" s="179"/>
    </row>
    <row r="42" spans="2:14" s="2" customFormat="1" ht="30" customHeight="1" thickBot="1">
      <c r="B42" s="153" t="s">
        <v>144</v>
      </c>
      <c r="C42" s="243">
        <f>E42+G42</f>
        <v>-350774.75209999993</v>
      </c>
      <c r="D42" s="244"/>
      <c r="E42" s="254">
        <f>E40-E41</f>
        <v>-238231.05209999997</v>
      </c>
      <c r="F42" s="255"/>
      <c r="G42" s="260">
        <f>G40-G41</f>
        <v>-112543.69999999995</v>
      </c>
      <c r="H42" s="261"/>
      <c r="I42" s="162"/>
      <c r="J42" s="147"/>
      <c r="K42" s="33"/>
      <c r="L42" s="33"/>
      <c r="M42" s="179"/>
      <c r="N42" s="179"/>
    </row>
    <row r="43" spans="2:14" ht="15.75" customHeight="1">
      <c r="B43" s="76"/>
      <c r="C43" s="145"/>
      <c r="D43" s="145"/>
      <c r="E43" s="147"/>
      <c r="F43" s="147"/>
      <c r="G43" s="147"/>
      <c r="H43" s="147"/>
      <c r="I43" s="170"/>
      <c r="J43" s="31"/>
      <c r="K43" s="2"/>
      <c r="L43" s="2"/>
      <c r="M43" s="180"/>
      <c r="N43" s="180"/>
    </row>
    <row r="44" spans="2:14" ht="13.5" customHeight="1">
      <c r="B44" s="52" t="s">
        <v>77</v>
      </c>
      <c r="C44" s="176" t="s">
        <v>147</v>
      </c>
      <c r="D44" s="176"/>
      <c r="E44" s="176"/>
      <c r="F44" s="258" t="s">
        <v>169</v>
      </c>
      <c r="G44" s="258"/>
      <c r="H44" s="52"/>
      <c r="I44" s="170"/>
      <c r="J44" s="31"/>
      <c r="K44" s="2"/>
      <c r="L44" s="2"/>
      <c r="M44" s="180"/>
      <c r="N44" s="180"/>
    </row>
    <row r="45" spans="2:14" ht="8.25" customHeight="1">
      <c r="B45" s="52"/>
      <c r="C45" s="53"/>
      <c r="D45" s="53"/>
      <c r="E45" s="219"/>
      <c r="F45" s="52"/>
      <c r="G45" s="52"/>
      <c r="H45" s="52"/>
      <c r="I45" s="52"/>
      <c r="J45" s="2"/>
      <c r="K45" s="2"/>
      <c r="L45" s="2"/>
      <c r="M45" s="180"/>
      <c r="N45" s="180"/>
    </row>
    <row r="46" spans="2:14" ht="12" customHeight="1">
      <c r="B46" s="52" t="s">
        <v>78</v>
      </c>
      <c r="C46" s="176" t="s">
        <v>147</v>
      </c>
      <c r="D46" s="176"/>
      <c r="E46" s="176"/>
      <c r="F46" s="52" t="s">
        <v>93</v>
      </c>
      <c r="G46" s="52"/>
      <c r="H46" s="52"/>
      <c r="I46" s="52"/>
    </row>
    <row r="47" spans="2:14" ht="6.75" customHeight="1">
      <c r="B47" s="52"/>
      <c r="C47" s="53"/>
      <c r="D47" s="53"/>
      <c r="E47" s="219"/>
      <c r="F47" s="52"/>
      <c r="G47" s="52"/>
      <c r="H47" s="52"/>
      <c r="I47" s="52"/>
    </row>
    <row r="48" spans="2:14" ht="15" customHeight="1">
      <c r="B48" s="52" t="s">
        <v>79</v>
      </c>
      <c r="C48" s="176" t="s">
        <v>148</v>
      </c>
      <c r="D48" s="176"/>
      <c r="E48" s="176"/>
      <c r="F48" s="258" t="s">
        <v>170</v>
      </c>
      <c r="G48" s="258"/>
      <c r="H48" s="52"/>
      <c r="I48" s="6"/>
    </row>
    <row r="49" spans="2:9" ht="6.75" customHeight="1">
      <c r="B49" s="54"/>
      <c r="C49" s="55"/>
      <c r="D49" s="55"/>
      <c r="E49" s="219"/>
      <c r="F49" s="183"/>
      <c r="G49" s="54"/>
      <c r="H49" s="56"/>
      <c r="I49" s="52"/>
    </row>
    <row r="50" spans="2:9" ht="12.75" customHeight="1">
      <c r="B50" s="52" t="s">
        <v>80</v>
      </c>
      <c r="C50" s="176" t="s">
        <v>148</v>
      </c>
      <c r="D50" s="176"/>
      <c r="E50" s="176"/>
      <c r="F50" s="258" t="s">
        <v>170</v>
      </c>
      <c r="G50" s="258"/>
      <c r="H50" s="52"/>
      <c r="I50" s="3"/>
    </row>
    <row r="51" spans="2:9" ht="9.75" customHeight="1">
      <c r="B51" s="8"/>
      <c r="C51" s="69"/>
      <c r="D51" s="70"/>
      <c r="E51" s="219"/>
      <c r="F51" s="8"/>
      <c r="G51" s="8"/>
    </row>
  </sheetData>
  <mergeCells count="49">
    <mergeCell ref="F48:G48"/>
    <mergeCell ref="F50:G50"/>
    <mergeCell ref="F44:G44"/>
    <mergeCell ref="M23:M24"/>
    <mergeCell ref="N23:N24"/>
    <mergeCell ref="G39:H39"/>
    <mergeCell ref="G40:H40"/>
    <mergeCell ref="G41:H41"/>
    <mergeCell ref="B1:H1"/>
    <mergeCell ref="B2:H2"/>
    <mergeCell ref="B3:H3"/>
    <mergeCell ref="B4:H4"/>
    <mergeCell ref="B16:H16"/>
    <mergeCell ref="B5:H6"/>
    <mergeCell ref="C17:D17"/>
    <mergeCell ref="C18:D18"/>
    <mergeCell ref="C19:D19"/>
    <mergeCell ref="C20:D20"/>
    <mergeCell ref="E17:F17"/>
    <mergeCell ref="E18:F18"/>
    <mergeCell ref="E19:F19"/>
    <mergeCell ref="E20:F20"/>
    <mergeCell ref="C42:D42"/>
    <mergeCell ref="B23:H23"/>
    <mergeCell ref="C24:C25"/>
    <mergeCell ref="B24:B25"/>
    <mergeCell ref="D24:D25"/>
    <mergeCell ref="E24:E25"/>
    <mergeCell ref="F24:G24"/>
    <mergeCell ref="H24:H25"/>
    <mergeCell ref="G42:H42"/>
    <mergeCell ref="G38:H38"/>
    <mergeCell ref="E38:F38"/>
    <mergeCell ref="E39:F39"/>
    <mergeCell ref="E40:F40"/>
    <mergeCell ref="E41:F41"/>
    <mergeCell ref="E42:F42"/>
    <mergeCell ref="B37:H37"/>
    <mergeCell ref="C38:D38"/>
    <mergeCell ref="C39:D39"/>
    <mergeCell ref="C40:D40"/>
    <mergeCell ref="C41:D41"/>
    <mergeCell ref="C21:D21"/>
    <mergeCell ref="E21:F21"/>
    <mergeCell ref="G21:H21"/>
    <mergeCell ref="G17:H17"/>
    <mergeCell ref="G18:H18"/>
    <mergeCell ref="G19:H19"/>
    <mergeCell ref="G20:H20"/>
  </mergeCells>
  <printOptions horizontalCentered="1"/>
  <pageMargins left="0.2" right="0.2" top="0.15748031496062992" bottom="0.23622047244094491" header="0.15748031496062992" footer="0.24"/>
  <pageSetup paperSize="9"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tabColor rgb="FF0070C0"/>
    <pageSetUpPr fitToPage="1"/>
  </sheetPr>
  <dimension ref="A1:N52"/>
  <sheetViews>
    <sheetView topLeftCell="B9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6" style="1" customWidth="1"/>
    <col min="3" max="3" width="14.140625" style="14" customWidth="1"/>
    <col min="4" max="4" width="8.28515625" style="3" customWidth="1"/>
    <col min="5" max="5" width="9.42578125" style="3" customWidth="1"/>
    <col min="6" max="6" width="10.42578125" style="1" customWidth="1"/>
    <col min="7" max="8" width="10.28515625" style="1" customWidth="1"/>
    <col min="9" max="9" width="16.140625" style="1" customWidth="1"/>
    <col min="10" max="10" width="18.140625" style="1" customWidth="1"/>
    <col min="11" max="12" width="9.140625" style="1"/>
    <col min="13" max="13" width="16.42578125" style="179" customWidth="1"/>
    <col min="14" max="14" width="17.7109375" style="179" customWidth="1"/>
    <col min="15" max="16384" width="9.140625" style="1"/>
  </cols>
  <sheetData>
    <row r="1" spans="1:8">
      <c r="B1" s="262" t="s">
        <v>119</v>
      </c>
      <c r="C1" s="262"/>
      <c r="D1" s="262"/>
      <c r="E1" s="262"/>
      <c r="F1" s="262"/>
      <c r="G1" s="262"/>
      <c r="H1" s="262"/>
    </row>
    <row r="2" spans="1:8">
      <c r="B2" s="262" t="s">
        <v>120</v>
      </c>
      <c r="C2" s="262"/>
      <c r="D2" s="262"/>
      <c r="E2" s="262"/>
      <c r="F2" s="262"/>
      <c r="G2" s="262"/>
      <c r="H2" s="262"/>
    </row>
    <row r="3" spans="1:8">
      <c r="B3" s="262" t="s">
        <v>155</v>
      </c>
      <c r="C3" s="262"/>
      <c r="D3" s="262"/>
      <c r="E3" s="262"/>
      <c r="F3" s="262"/>
      <c r="G3" s="262"/>
      <c r="H3" s="262"/>
    </row>
    <row r="4" spans="1:8">
      <c r="B4" s="262" t="s">
        <v>174</v>
      </c>
      <c r="C4" s="262"/>
      <c r="D4" s="262"/>
      <c r="E4" s="262"/>
      <c r="F4" s="262"/>
      <c r="G4" s="262"/>
      <c r="H4" s="262"/>
    </row>
    <row r="5" spans="1:8" ht="19.5" customHeight="1">
      <c r="A5" s="71"/>
      <c r="B5" s="263" t="s">
        <v>175</v>
      </c>
      <c r="C5" s="263"/>
      <c r="D5" s="263"/>
      <c r="E5" s="263"/>
      <c r="F5" s="263"/>
      <c r="G5" s="263"/>
      <c r="H5" s="263"/>
    </row>
    <row r="6" spans="1:8" ht="20.25" customHeight="1">
      <c r="A6" s="71"/>
      <c r="B6" s="263"/>
      <c r="C6" s="263"/>
      <c r="D6" s="263"/>
      <c r="E6" s="263"/>
      <c r="F6" s="263"/>
      <c r="G6" s="263"/>
      <c r="H6" s="263"/>
    </row>
    <row r="7" spans="1:8" ht="9" customHeight="1">
      <c r="B7" s="67"/>
      <c r="C7" s="67"/>
      <c r="D7" s="67"/>
      <c r="E7" s="67"/>
      <c r="F7" s="67"/>
      <c r="G7" s="67"/>
      <c r="H7" s="67"/>
    </row>
    <row r="8" spans="1:8">
      <c r="B8" s="163" t="s">
        <v>0</v>
      </c>
      <c r="C8" s="164"/>
      <c r="D8" s="270" t="s">
        <v>30</v>
      </c>
      <c r="E8" s="270"/>
      <c r="F8" s="163"/>
    </row>
    <row r="9" spans="1:8">
      <c r="B9" s="163" t="s">
        <v>1</v>
      </c>
      <c r="C9" s="164"/>
      <c r="D9" s="209">
        <v>1965</v>
      </c>
      <c r="E9" s="209"/>
      <c r="F9" s="163"/>
    </row>
    <row r="10" spans="1:8" hidden="1" outlineLevel="1">
      <c r="B10" s="163" t="s">
        <v>2</v>
      </c>
      <c r="C10" s="164"/>
      <c r="D10" s="209">
        <v>4</v>
      </c>
      <c r="E10" s="209"/>
      <c r="F10" s="163"/>
    </row>
    <row r="11" spans="1:8" hidden="1" outlineLevel="1">
      <c r="B11" s="163" t="s">
        <v>3</v>
      </c>
      <c r="C11" s="164"/>
      <c r="D11" s="209">
        <v>32</v>
      </c>
      <c r="E11" s="209"/>
      <c r="F11" s="163"/>
    </row>
    <row r="12" spans="1:8" ht="30.75" hidden="1" customHeight="1" outlineLevel="1">
      <c r="B12" s="165" t="s">
        <v>4</v>
      </c>
      <c r="C12" s="166"/>
      <c r="D12" s="209" t="s">
        <v>31</v>
      </c>
      <c r="E12" s="209"/>
      <c r="F12" s="163"/>
    </row>
    <row r="13" spans="1:8" collapsed="1">
      <c r="B13" s="163" t="s">
        <v>5</v>
      </c>
      <c r="C13" s="164"/>
      <c r="D13" s="209" t="s">
        <v>107</v>
      </c>
      <c r="E13" s="209"/>
      <c r="F13" s="163"/>
      <c r="H13" s="5"/>
    </row>
    <row r="14" spans="1:8" hidden="1" outlineLevel="1">
      <c r="B14" s="1" t="s">
        <v>6</v>
      </c>
      <c r="D14" s="156" t="s">
        <v>7</v>
      </c>
      <c r="E14" s="156"/>
    </row>
    <row r="15" spans="1:8" ht="30.75" hidden="1" customHeight="1" outlineLevel="1">
      <c r="B15" s="15" t="s">
        <v>8</v>
      </c>
      <c r="C15" s="16"/>
      <c r="D15" s="210" t="s">
        <v>32</v>
      </c>
      <c r="E15" s="156"/>
      <c r="H15" s="5"/>
    </row>
    <row r="16" spans="1:8" ht="21.75" customHeight="1" collapsed="1" thickBot="1">
      <c r="B16" s="249" t="s">
        <v>172</v>
      </c>
      <c r="C16" s="249"/>
      <c r="D16" s="249"/>
      <c r="E16" s="249"/>
      <c r="F16" s="249"/>
      <c r="G16" s="249"/>
      <c r="H16" s="249"/>
    </row>
    <row r="17" spans="2:14" ht="46.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</row>
    <row r="18" spans="2:14">
      <c r="B18" s="150" t="s">
        <v>11</v>
      </c>
      <c r="C18" s="275">
        <v>3362305.2800000003</v>
      </c>
      <c r="D18" s="276"/>
      <c r="E18" s="237">
        <v>2223386.84</v>
      </c>
      <c r="F18" s="238"/>
      <c r="G18" s="237">
        <v>1138918.4400000002</v>
      </c>
      <c r="H18" s="253"/>
    </row>
    <row r="19" spans="2:14">
      <c r="B19" s="151" t="s">
        <v>12</v>
      </c>
      <c r="C19" s="239">
        <v>3335123.9600000004</v>
      </c>
      <c r="D19" s="277"/>
      <c r="E19" s="239">
        <v>2203747.5500000003</v>
      </c>
      <c r="F19" s="240"/>
      <c r="G19" s="239">
        <v>1131376.4100000001</v>
      </c>
      <c r="H19" s="250"/>
    </row>
    <row r="20" spans="2:14" ht="16.5" thickBot="1">
      <c r="B20" s="152" t="s">
        <v>88</v>
      </c>
      <c r="C20" s="278">
        <v>3326597.4123999998</v>
      </c>
      <c r="D20" s="279"/>
      <c r="E20" s="241">
        <v>2265298.4123999998</v>
      </c>
      <c r="F20" s="242"/>
      <c r="G20" s="241">
        <v>1061299</v>
      </c>
      <c r="H20" s="251"/>
    </row>
    <row r="21" spans="2:14" ht="31.5" customHeight="1" thickBot="1">
      <c r="B21" s="153" t="s">
        <v>143</v>
      </c>
      <c r="C21" s="243">
        <f>E21+G21</f>
        <v>8526.5476000006311</v>
      </c>
      <c r="D21" s="244"/>
      <c r="E21" s="254">
        <f>E19-E20</f>
        <v>-61550.862399999518</v>
      </c>
      <c r="F21" s="255"/>
      <c r="G21" s="254">
        <f>G19-G20</f>
        <v>70077.410000000149</v>
      </c>
      <c r="H21" s="256"/>
    </row>
    <row r="22" spans="2:14">
      <c r="B22" s="76"/>
      <c r="C22" s="145"/>
      <c r="D22" s="145"/>
      <c r="E22" s="147"/>
      <c r="F22" s="147"/>
      <c r="G22" s="147"/>
      <c r="H22" s="147"/>
    </row>
    <row r="23" spans="2:14" ht="31.5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2:14" ht="34.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5"/>
      <c r="M24" s="234"/>
      <c r="N24" s="234"/>
    </row>
    <row r="25" spans="2:14" ht="44.2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1">
        <v>224887.38</v>
      </c>
      <c r="N25" s="201">
        <f>M25</f>
        <v>224887.38</v>
      </c>
    </row>
    <row r="26" spans="2:14" ht="44.25" customHeight="1">
      <c r="B26" s="19" t="s">
        <v>86</v>
      </c>
      <c r="C26" s="20" t="s">
        <v>97</v>
      </c>
      <c r="D26" s="21" t="s">
        <v>98</v>
      </c>
      <c r="E26" s="22">
        <v>1.24</v>
      </c>
      <c r="F26" s="23">
        <f>$M$25/$M$26*E26</f>
        <v>22026.883981042654</v>
      </c>
      <c r="G26" s="24">
        <f>$N$25/$N$26*E26</f>
        <v>22026.883981042654</v>
      </c>
      <c r="H26" s="25">
        <f>F26-G26</f>
        <v>0</v>
      </c>
      <c r="I26" s="26"/>
      <c r="J26" s="208"/>
      <c r="K26" s="208"/>
      <c r="L26" s="27"/>
      <c r="M26" s="203">
        <f>E35-E33</f>
        <v>12.66</v>
      </c>
      <c r="N26" s="203">
        <f>M26</f>
        <v>12.66</v>
      </c>
    </row>
    <row r="27" spans="2:14" ht="51">
      <c r="B27" s="28" t="s">
        <v>90</v>
      </c>
      <c r="C27" s="20" t="s">
        <v>97</v>
      </c>
      <c r="D27" s="21" t="s">
        <v>98</v>
      </c>
      <c r="E27" s="29">
        <v>1.39</v>
      </c>
      <c r="F27" s="23">
        <f t="shared" ref="F27:F32" si="0">$M$25/$M$26*E27</f>
        <v>24691.426398104264</v>
      </c>
      <c r="G27" s="24">
        <f t="shared" ref="G27:G31" si="1">$N$25/$N$26*E27</f>
        <v>24691.426398104264</v>
      </c>
      <c r="H27" s="25">
        <f t="shared" ref="H27:H32" si="2">F27-G27</f>
        <v>0</v>
      </c>
      <c r="I27" s="31"/>
      <c r="J27" s="2"/>
      <c r="K27" s="2"/>
      <c r="L27" s="2"/>
      <c r="M27" s="180"/>
      <c r="N27" s="180"/>
    </row>
    <row r="28" spans="2:14" ht="38.2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5684.3571563981041</v>
      </c>
      <c r="G28" s="24">
        <f t="shared" si="1"/>
        <v>5684.3571563981041</v>
      </c>
      <c r="H28" s="25">
        <f t="shared" si="2"/>
        <v>0</v>
      </c>
      <c r="I28" s="33"/>
      <c r="L28" s="5"/>
    </row>
    <row r="29" spans="2:14" ht="25.5">
      <c r="B29" s="32" t="s">
        <v>84</v>
      </c>
      <c r="C29" s="34" t="s">
        <v>99</v>
      </c>
      <c r="D29" s="21" t="s">
        <v>98</v>
      </c>
      <c r="E29" s="29">
        <v>0.19</v>
      </c>
      <c r="F29" s="23">
        <f t="shared" si="0"/>
        <v>3375.0870616113743</v>
      </c>
      <c r="G29" s="24">
        <f t="shared" si="1"/>
        <v>3375.0870616113743</v>
      </c>
      <c r="H29" s="25">
        <f t="shared" si="2"/>
        <v>0</v>
      </c>
      <c r="I29" s="33"/>
      <c r="L29" s="5"/>
    </row>
    <row r="30" spans="2:14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24513.790236966823</v>
      </c>
      <c r="G30" s="24">
        <f t="shared" si="1"/>
        <v>24513.790236966823</v>
      </c>
      <c r="H30" s="25">
        <f t="shared" si="2"/>
        <v>0</v>
      </c>
      <c r="I30" s="33"/>
    </row>
    <row r="31" spans="2:14" ht="215.25" customHeight="1">
      <c r="B31" s="28" t="s">
        <v>137</v>
      </c>
      <c r="C31" s="20" t="s">
        <v>100</v>
      </c>
      <c r="D31" s="21" t="s">
        <v>98</v>
      </c>
      <c r="E31" s="29">
        <v>6.54</v>
      </c>
      <c r="F31" s="23">
        <f t="shared" si="0"/>
        <v>116174.04938388626</v>
      </c>
      <c r="G31" s="24">
        <f t="shared" si="1"/>
        <v>116174.04938388626</v>
      </c>
      <c r="H31" s="25">
        <f t="shared" si="2"/>
        <v>0</v>
      </c>
      <c r="I31" s="31"/>
      <c r="J31" s="2"/>
      <c r="K31" s="2"/>
      <c r="L31" s="4"/>
      <c r="M31" s="180"/>
      <c r="N31" s="180"/>
    </row>
    <row r="32" spans="2:14" ht="111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4973.8125118483413</v>
      </c>
      <c r="G32" s="24">
        <f t="shared" ref="G32:G34" si="3">$N$25/$N$26*E32</f>
        <v>4973.8125118483413</v>
      </c>
      <c r="H32" s="25">
        <f t="shared" si="2"/>
        <v>0</v>
      </c>
      <c r="I32" s="33"/>
    </row>
    <row r="33" spans="2:14" ht="36">
      <c r="B33" s="32" t="s">
        <v>91</v>
      </c>
      <c r="C33" s="20" t="s">
        <v>97</v>
      </c>
      <c r="D33" s="21" t="s">
        <v>98</v>
      </c>
      <c r="E33" s="29">
        <v>7.45</v>
      </c>
      <c r="F33" s="23">
        <v>132338.94</v>
      </c>
      <c r="G33" s="30">
        <v>177069</v>
      </c>
      <c r="H33" s="25">
        <f>F33-G33</f>
        <v>-44730.06</v>
      </c>
      <c r="I33" s="33"/>
      <c r="L33" s="5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1.32</v>
      </c>
      <c r="F34" s="23">
        <f>$M$25/$M$26*E34</f>
        <v>23447.973270142182</v>
      </c>
      <c r="G34" s="24">
        <f t="shared" si="3"/>
        <v>23447.973270142182</v>
      </c>
      <c r="H34" s="25">
        <f>F34-G34</f>
        <v>0</v>
      </c>
      <c r="I34" s="33"/>
    </row>
    <row r="35" spans="2:14" ht="16.5" thickBot="1">
      <c r="B35" s="39" t="s">
        <v>89</v>
      </c>
      <c r="C35" s="40"/>
      <c r="D35" s="40"/>
      <c r="E35" s="41">
        <f>SUM(E26:E34)</f>
        <v>20.11</v>
      </c>
      <c r="F35" s="42">
        <f>SUM(F26:F34)</f>
        <v>357226.32</v>
      </c>
      <c r="G35" s="43">
        <f>SUM(G26:G34)</f>
        <v>401956.38</v>
      </c>
      <c r="H35" s="44">
        <f>SUM(H26:H34)</f>
        <v>-44730.06</v>
      </c>
      <c r="I35" s="65"/>
      <c r="J35" s="5"/>
    </row>
    <row r="36" spans="2:14">
      <c r="B36" s="5"/>
      <c r="C36" s="5"/>
      <c r="D36" s="5"/>
      <c r="E36" s="14"/>
      <c r="F36" s="14"/>
      <c r="G36" s="14"/>
      <c r="H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46.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69"/>
      <c r="J38" s="158"/>
      <c r="K38" s="46"/>
      <c r="L38" s="47"/>
      <c r="M38" s="181"/>
      <c r="N38" s="181"/>
    </row>
    <row r="39" spans="2:14">
      <c r="B39" s="150" t="s">
        <v>11</v>
      </c>
      <c r="C39" s="237">
        <f>E39+G39</f>
        <v>3719531.5999999996</v>
      </c>
      <c r="D39" s="238"/>
      <c r="E39" s="237">
        <f>F26+F27+F28+F29+F30+F31+F32+F34+E18</f>
        <v>2448274.2199999997</v>
      </c>
      <c r="F39" s="238"/>
      <c r="G39" s="237">
        <f>F33+G18</f>
        <v>1271257.3800000001</v>
      </c>
      <c r="H39" s="253"/>
      <c r="I39" s="159"/>
      <c r="J39" s="160"/>
      <c r="K39" s="49"/>
      <c r="L39" s="49"/>
      <c r="M39" s="204"/>
    </row>
    <row r="40" spans="2:14">
      <c r="B40" s="151" t="s">
        <v>12</v>
      </c>
      <c r="C40" s="239">
        <f>E40+G40</f>
        <v>3689179.0100000007</v>
      </c>
      <c r="D40" s="240"/>
      <c r="E40" s="239">
        <f>E19+222890.95</f>
        <v>2426638.5000000005</v>
      </c>
      <c r="F40" s="240"/>
      <c r="G40" s="239">
        <f>G19+131164.1</f>
        <v>1262540.5100000002</v>
      </c>
      <c r="H40" s="250"/>
      <c r="I40" s="159"/>
      <c r="J40" s="161"/>
      <c r="K40" s="51"/>
      <c r="L40" s="49"/>
      <c r="M40" s="204"/>
    </row>
    <row r="41" spans="2:14" ht="16.5" thickBot="1">
      <c r="B41" s="152" t="s">
        <v>88</v>
      </c>
      <c r="C41" s="241">
        <f>E41+G41</f>
        <v>3728553.7923999997</v>
      </c>
      <c r="D41" s="242"/>
      <c r="E41" s="241">
        <f>G26+G27+G28+G29+G30+G31+G32+G34+E20</f>
        <v>2490185.7923999997</v>
      </c>
      <c r="F41" s="242"/>
      <c r="G41" s="241">
        <f>G33+G20</f>
        <v>1238368</v>
      </c>
      <c r="H41" s="251"/>
      <c r="I41" s="159"/>
      <c r="J41" s="48"/>
      <c r="K41" s="33"/>
      <c r="L41" s="33"/>
    </row>
    <row r="42" spans="2:14" ht="36.75" customHeight="1" thickBot="1">
      <c r="B42" s="153" t="s">
        <v>144</v>
      </c>
      <c r="C42" s="243">
        <f>E42+G42</f>
        <v>-39374.782399998978</v>
      </c>
      <c r="D42" s="244"/>
      <c r="E42" s="254">
        <f>E40-E41</f>
        <v>-63547.29239999922</v>
      </c>
      <c r="F42" s="255"/>
      <c r="G42" s="254">
        <f>G40-G41</f>
        <v>24172.510000000242</v>
      </c>
      <c r="H42" s="256"/>
      <c r="I42" s="162"/>
      <c r="J42" s="147"/>
      <c r="K42" s="33"/>
      <c r="L42" s="33"/>
    </row>
    <row r="43" spans="2:14" ht="11.25" customHeight="1">
      <c r="B43" s="76"/>
      <c r="C43" s="145"/>
      <c r="D43" s="145"/>
      <c r="E43" s="147"/>
      <c r="F43" s="147"/>
      <c r="G43" s="147"/>
      <c r="H43" s="147"/>
      <c r="I43" s="170"/>
      <c r="J43" s="31"/>
      <c r="K43" s="2"/>
      <c r="L43" s="2"/>
      <c r="M43" s="180"/>
      <c r="N43" s="180"/>
    </row>
    <row r="44" spans="2:14" ht="15.7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170"/>
      <c r="J44" s="31"/>
      <c r="K44" s="2"/>
      <c r="L44" s="2"/>
      <c r="M44" s="180"/>
      <c r="N44" s="180"/>
    </row>
    <row r="45" spans="2:14" ht="5.25" customHeight="1">
      <c r="B45" s="52"/>
      <c r="C45" s="53"/>
      <c r="D45" s="53"/>
      <c r="E45" s="219"/>
      <c r="F45" s="259"/>
      <c r="G45" s="259"/>
      <c r="H45" s="52"/>
      <c r="I45" s="52"/>
      <c r="J45" s="2"/>
      <c r="K45" s="2"/>
      <c r="L45" s="2"/>
      <c r="M45" s="180"/>
      <c r="N45" s="180"/>
    </row>
    <row r="46" spans="2:14" ht="1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4" ht="8.25" customHeight="1">
      <c r="B47" s="52"/>
      <c r="C47" s="53"/>
      <c r="D47" s="53"/>
      <c r="E47" s="219"/>
      <c r="F47" s="258"/>
      <c r="G47" s="258"/>
      <c r="H47" s="52"/>
      <c r="I47" s="52"/>
    </row>
    <row r="48" spans="2:14" ht="12.7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52"/>
    </row>
    <row r="49" spans="2:9" ht="7.5" customHeight="1">
      <c r="B49" s="54"/>
      <c r="C49" s="55"/>
      <c r="D49" s="55"/>
      <c r="E49" s="219"/>
      <c r="F49" s="183"/>
      <c r="G49" s="54"/>
      <c r="H49" s="56"/>
      <c r="I49" s="52"/>
    </row>
    <row r="50" spans="2:9" ht="12.7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  <c r="I50" s="52"/>
    </row>
    <row r="51" spans="2:9">
      <c r="B51" s="8"/>
      <c r="C51" s="69"/>
      <c r="D51" s="70"/>
      <c r="E51" s="219"/>
      <c r="F51" s="8"/>
      <c r="G51" s="8"/>
      <c r="H51" s="52"/>
      <c r="I51" s="52"/>
    </row>
    <row r="52" spans="2:9">
      <c r="H52" s="52"/>
      <c r="I52" s="52"/>
    </row>
  </sheetData>
  <mergeCells count="57">
    <mergeCell ref="B1:H1"/>
    <mergeCell ref="F44:G44"/>
    <mergeCell ref="E38:F38"/>
    <mergeCell ref="F45:G45"/>
    <mergeCell ref="D8:E8"/>
    <mergeCell ref="B2:H2"/>
    <mergeCell ref="B3:H3"/>
    <mergeCell ref="B4:H4"/>
    <mergeCell ref="G38:H38"/>
    <mergeCell ref="B23:H23"/>
    <mergeCell ref="B24:B25"/>
    <mergeCell ref="C24:C25"/>
    <mergeCell ref="B5:H6"/>
    <mergeCell ref="G42:H42"/>
    <mergeCell ref="G39:H39"/>
    <mergeCell ref="G40:H40"/>
    <mergeCell ref="B16:H16"/>
    <mergeCell ref="G19:H19"/>
    <mergeCell ref="C20:D20"/>
    <mergeCell ref="C19:D19"/>
    <mergeCell ref="E19:F19"/>
    <mergeCell ref="C17:D17"/>
    <mergeCell ref="E17:F17"/>
    <mergeCell ref="G17:H17"/>
    <mergeCell ref="C18:D18"/>
    <mergeCell ref="E18:F18"/>
    <mergeCell ref="G18:H18"/>
    <mergeCell ref="E20:F20"/>
    <mergeCell ref="G20:H20"/>
    <mergeCell ref="F50:G50"/>
    <mergeCell ref="E39:F39"/>
    <mergeCell ref="F46:G46"/>
    <mergeCell ref="E41:F41"/>
    <mergeCell ref="E42:F42"/>
    <mergeCell ref="E40:F40"/>
    <mergeCell ref="F47:G47"/>
    <mergeCell ref="C44:E44"/>
    <mergeCell ref="C46:E46"/>
    <mergeCell ref="C48:E48"/>
    <mergeCell ref="F48:G48"/>
    <mergeCell ref="C50:E50"/>
    <mergeCell ref="C41:D41"/>
    <mergeCell ref="C42:D42"/>
    <mergeCell ref="G41:H41"/>
    <mergeCell ref="G21:H21"/>
    <mergeCell ref="H24:H25"/>
    <mergeCell ref="B37:H37"/>
    <mergeCell ref="D24:D25"/>
    <mergeCell ref="E24:E25"/>
    <mergeCell ref="F24:G24"/>
    <mergeCell ref="C21:D21"/>
    <mergeCell ref="E21:F21"/>
    <mergeCell ref="M23:M24"/>
    <mergeCell ref="N23:N24"/>
    <mergeCell ref="C38:D38"/>
    <mergeCell ref="C39:D39"/>
    <mergeCell ref="C40:D40"/>
  </mergeCells>
  <printOptions horizontalCentered="1"/>
  <pageMargins left="0.19685039370078741" right="0.19685039370078741" top="0.15748031496062992" bottom="0.23622047244094491" header="0.16" footer="0.14000000000000001"/>
  <pageSetup paperSize="9" scale="4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tabColor rgb="FF0070C0"/>
    <pageSetUpPr fitToPage="1"/>
  </sheetPr>
  <dimension ref="A1:U54"/>
  <sheetViews>
    <sheetView topLeftCell="A21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5.85546875" style="1" customWidth="1"/>
    <col min="3" max="3" width="15.140625" style="3" customWidth="1"/>
    <col min="4" max="4" width="9.140625" style="3" customWidth="1"/>
    <col min="5" max="5" width="10" style="3" customWidth="1"/>
    <col min="6" max="6" width="10.28515625" style="1" customWidth="1"/>
    <col min="7" max="7" width="10.42578125" style="1" customWidth="1"/>
    <col min="8" max="8" width="10.5703125" style="1" customWidth="1"/>
    <col min="9" max="9" width="15.7109375" style="1" customWidth="1"/>
    <col min="10" max="10" width="18.7109375" style="1" customWidth="1"/>
    <col min="11" max="12" width="9.140625" style="78"/>
    <col min="13" max="13" width="15.85546875" style="179" customWidth="1"/>
    <col min="14" max="14" width="16.140625" style="179" customWidth="1"/>
    <col min="15" max="15" width="16.42578125" style="78" hidden="1" customWidth="1"/>
    <col min="16" max="16" width="12.42578125" style="179" customWidth="1"/>
    <col min="17" max="17" width="13.140625" style="179" customWidth="1"/>
    <col min="18" max="18" width="14.42578125" style="1" customWidth="1"/>
    <col min="19" max="19" width="9.140625" style="1"/>
    <col min="20" max="21" width="11.7109375" style="1" customWidth="1"/>
    <col min="22" max="16384" width="9.140625" style="1"/>
  </cols>
  <sheetData>
    <row r="1" spans="1:21">
      <c r="B1" s="262" t="s">
        <v>119</v>
      </c>
      <c r="C1" s="262"/>
      <c r="D1" s="262"/>
      <c r="E1" s="262"/>
      <c r="F1" s="262"/>
      <c r="G1" s="262"/>
      <c r="H1" s="262"/>
    </row>
    <row r="2" spans="1:21">
      <c r="B2" s="262" t="s">
        <v>120</v>
      </c>
      <c r="C2" s="262"/>
      <c r="D2" s="262"/>
      <c r="E2" s="262"/>
      <c r="F2" s="262"/>
      <c r="G2" s="262"/>
      <c r="H2" s="262"/>
    </row>
    <row r="3" spans="1:21">
      <c r="B3" s="262" t="s">
        <v>156</v>
      </c>
      <c r="C3" s="262"/>
      <c r="D3" s="262"/>
      <c r="E3" s="262"/>
      <c r="F3" s="262"/>
      <c r="G3" s="262"/>
      <c r="H3" s="262"/>
    </row>
    <row r="4" spans="1:21">
      <c r="B4" s="262" t="s">
        <v>174</v>
      </c>
      <c r="C4" s="262"/>
      <c r="D4" s="262"/>
      <c r="E4" s="262"/>
      <c r="F4" s="262"/>
      <c r="G4" s="262"/>
      <c r="H4" s="262"/>
    </row>
    <row r="5" spans="1:21" ht="19.5" customHeight="1">
      <c r="A5" s="71"/>
      <c r="B5" s="263" t="s">
        <v>175</v>
      </c>
      <c r="C5" s="263"/>
      <c r="D5" s="263"/>
      <c r="E5" s="263"/>
      <c r="F5" s="263"/>
      <c r="G5" s="263"/>
      <c r="H5" s="263"/>
      <c r="O5" s="290"/>
      <c r="P5" s="290"/>
      <c r="Q5" s="290"/>
      <c r="R5" s="290"/>
      <c r="S5" s="72"/>
      <c r="T5" s="72"/>
      <c r="U5" s="71"/>
    </row>
    <row r="6" spans="1:21" ht="20.25" customHeight="1">
      <c r="A6" s="71"/>
      <c r="B6" s="263"/>
      <c r="C6" s="263"/>
      <c r="D6" s="263"/>
      <c r="E6" s="263"/>
      <c r="F6" s="263"/>
      <c r="G6" s="263"/>
      <c r="H6" s="263"/>
      <c r="O6" s="290"/>
      <c r="P6" s="290"/>
      <c r="Q6" s="290"/>
      <c r="R6" s="290"/>
      <c r="S6" s="72"/>
      <c r="T6" s="72"/>
      <c r="U6" s="71"/>
    </row>
    <row r="7" spans="1:21" ht="8.25" customHeight="1">
      <c r="B7" s="67"/>
      <c r="C7" s="67"/>
      <c r="D7" s="67"/>
      <c r="E7" s="67"/>
      <c r="F7" s="67"/>
      <c r="G7" s="67"/>
      <c r="H7" s="67"/>
      <c r="O7" s="290"/>
      <c r="P7" s="290"/>
      <c r="Q7" s="290"/>
      <c r="R7" s="290"/>
      <c r="S7" s="33"/>
      <c r="T7" s="33"/>
    </row>
    <row r="8" spans="1:21">
      <c r="B8" s="163" t="s">
        <v>0</v>
      </c>
      <c r="C8" s="172"/>
      <c r="D8" s="270" t="s">
        <v>33</v>
      </c>
      <c r="E8" s="270"/>
      <c r="O8" s="117"/>
      <c r="P8" s="291"/>
      <c r="Q8" s="291"/>
      <c r="R8" s="291"/>
      <c r="S8" s="33"/>
      <c r="T8" s="33"/>
    </row>
    <row r="9" spans="1:21">
      <c r="B9" s="163" t="s">
        <v>1</v>
      </c>
      <c r="C9" s="172"/>
      <c r="D9" s="209">
        <v>1964</v>
      </c>
      <c r="E9" s="209"/>
      <c r="O9" s="117"/>
      <c r="P9" s="189"/>
      <c r="Q9" s="189"/>
      <c r="R9" s="213"/>
      <c r="S9" s="33"/>
      <c r="T9" s="33"/>
    </row>
    <row r="10" spans="1:21" ht="15.75" hidden="1" customHeight="1" outlineLevel="1">
      <c r="B10" s="163" t="s">
        <v>2</v>
      </c>
      <c r="C10" s="172"/>
      <c r="D10" s="209">
        <v>4</v>
      </c>
      <c r="E10" s="209"/>
      <c r="O10" s="117"/>
      <c r="P10" s="189"/>
      <c r="Q10" s="189"/>
      <c r="R10" s="213"/>
      <c r="S10" s="33"/>
      <c r="T10" s="33"/>
    </row>
    <row r="11" spans="1:21" ht="15.75" hidden="1" customHeight="1" outlineLevel="1">
      <c r="B11" s="163" t="s">
        <v>3</v>
      </c>
      <c r="C11" s="172"/>
      <c r="D11" s="209">
        <v>64</v>
      </c>
      <c r="E11" s="209"/>
      <c r="O11" s="117"/>
      <c r="P11" s="189"/>
      <c r="Q11" s="189"/>
      <c r="R11" s="213"/>
      <c r="S11" s="33"/>
      <c r="T11" s="33"/>
    </row>
    <row r="12" spans="1:21" ht="30.75" hidden="1" customHeight="1" outlineLevel="1">
      <c r="B12" s="165" t="s">
        <v>4</v>
      </c>
      <c r="C12" s="173"/>
      <c r="D12" s="209" t="s">
        <v>34</v>
      </c>
      <c r="E12" s="209"/>
      <c r="O12" s="192"/>
      <c r="P12" s="189"/>
      <c r="Q12" s="189"/>
      <c r="R12" s="213"/>
      <c r="S12" s="33"/>
      <c r="T12" s="33"/>
    </row>
    <row r="13" spans="1:21" collapsed="1">
      <c r="B13" s="163" t="s">
        <v>5</v>
      </c>
      <c r="C13" s="172"/>
      <c r="D13" s="209" t="s">
        <v>108</v>
      </c>
      <c r="E13" s="209"/>
      <c r="I13" s="5"/>
      <c r="O13" s="117"/>
      <c r="P13" s="189"/>
      <c r="Q13" s="189"/>
      <c r="R13" s="213"/>
      <c r="S13" s="33"/>
      <c r="T13" s="33"/>
    </row>
    <row r="14" spans="1:21">
      <c r="B14" s="163" t="s">
        <v>6</v>
      </c>
      <c r="C14" s="172"/>
      <c r="D14" s="209" t="s">
        <v>35</v>
      </c>
      <c r="E14" s="209"/>
      <c r="O14" s="117"/>
      <c r="P14" s="189"/>
      <c r="Q14" s="189"/>
      <c r="R14" s="213"/>
      <c r="S14" s="33"/>
      <c r="T14" s="33"/>
    </row>
    <row r="15" spans="1:21" ht="30.75" hidden="1" customHeight="1" outlineLevel="1">
      <c r="B15" s="15" t="s">
        <v>8</v>
      </c>
      <c r="C15" s="73"/>
      <c r="D15" s="210" t="s">
        <v>32</v>
      </c>
      <c r="E15" s="156"/>
      <c r="I15" s="5"/>
      <c r="O15" s="192"/>
      <c r="P15" s="292"/>
      <c r="Q15" s="292"/>
      <c r="R15" s="213"/>
      <c r="S15" s="33"/>
      <c r="T15" s="33"/>
    </row>
    <row r="16" spans="1:21" ht="16.5" collapsed="1" thickBot="1">
      <c r="B16" s="249" t="s">
        <v>172</v>
      </c>
      <c r="C16" s="249"/>
      <c r="D16" s="249"/>
      <c r="E16" s="249"/>
      <c r="F16" s="249"/>
      <c r="G16" s="249"/>
      <c r="H16" s="249"/>
      <c r="I16" s="5"/>
      <c r="O16" s="192"/>
      <c r="P16" s="214"/>
      <c r="Q16" s="214"/>
      <c r="R16" s="213"/>
      <c r="S16" s="33"/>
      <c r="T16" s="33"/>
    </row>
    <row r="17" spans="2:20" ht="45" customHeight="1" thickBot="1"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  <c r="O17" s="192"/>
      <c r="P17" s="214"/>
      <c r="Q17" s="214"/>
      <c r="R17" s="213"/>
      <c r="S17" s="33"/>
      <c r="T17" s="33"/>
    </row>
    <row r="18" spans="2:20">
      <c r="B18" s="150" t="s">
        <v>11</v>
      </c>
      <c r="C18" s="275">
        <v>4485418.4695148245</v>
      </c>
      <c r="D18" s="288"/>
      <c r="E18" s="275">
        <v>3379611.5016935733</v>
      </c>
      <c r="F18" s="288"/>
      <c r="G18" s="275">
        <v>1105806.9678212514</v>
      </c>
      <c r="H18" s="294"/>
      <c r="I18" s="5"/>
      <c r="O18" s="192"/>
      <c r="P18" s="214"/>
      <c r="Q18" s="214"/>
      <c r="R18" s="213"/>
      <c r="S18" s="33"/>
      <c r="T18" s="33"/>
    </row>
    <row r="19" spans="2:20">
      <c r="B19" s="151" t="s">
        <v>12</v>
      </c>
      <c r="C19" s="239">
        <v>4341507.1077628033</v>
      </c>
      <c r="D19" s="289"/>
      <c r="E19" s="239">
        <v>3275277.7922215918</v>
      </c>
      <c r="F19" s="289"/>
      <c r="G19" s="239">
        <v>1066229.3155412115</v>
      </c>
      <c r="H19" s="295"/>
      <c r="I19" s="5"/>
      <c r="O19" s="192"/>
      <c r="P19" s="214"/>
      <c r="Q19" s="214"/>
      <c r="R19" s="213"/>
      <c r="S19" s="33"/>
      <c r="T19" s="33"/>
    </row>
    <row r="20" spans="2:20" ht="16.5" thickBot="1">
      <c r="B20" s="152" t="s">
        <v>88</v>
      </c>
      <c r="C20" s="278">
        <v>4404235.6216631578</v>
      </c>
      <c r="D20" s="285"/>
      <c r="E20" s="278">
        <v>3472717.6216631578</v>
      </c>
      <c r="F20" s="285"/>
      <c r="G20" s="278">
        <v>931518</v>
      </c>
      <c r="H20" s="293"/>
      <c r="I20" s="5"/>
      <c r="O20" s="192"/>
      <c r="P20" s="214"/>
      <c r="Q20" s="214"/>
      <c r="R20" s="213"/>
      <c r="S20" s="33"/>
      <c r="T20" s="33"/>
    </row>
    <row r="21" spans="2:20" ht="30.75" customHeight="1" thickBot="1">
      <c r="B21" s="153" t="s">
        <v>143</v>
      </c>
      <c r="C21" s="243">
        <f>E21+G21</f>
        <v>-62728.513900354505</v>
      </c>
      <c r="D21" s="286"/>
      <c r="E21" s="254">
        <f>E19-E20</f>
        <v>-197439.82944156602</v>
      </c>
      <c r="F21" s="286"/>
      <c r="G21" s="254">
        <f>G19-G20</f>
        <v>134711.31554121152</v>
      </c>
      <c r="H21" s="296"/>
      <c r="I21" s="5"/>
      <c r="O21" s="192"/>
      <c r="P21" s="214"/>
      <c r="Q21" s="214"/>
      <c r="R21" s="213"/>
      <c r="S21" s="33"/>
      <c r="T21" s="33"/>
    </row>
    <row r="22" spans="2:20">
      <c r="B22" s="15"/>
      <c r="C22" s="73"/>
      <c r="D22" s="210"/>
      <c r="E22" s="156"/>
      <c r="I22" s="5"/>
      <c r="O22" s="192"/>
      <c r="P22" s="214"/>
      <c r="Q22" s="214"/>
      <c r="R22" s="213"/>
      <c r="S22" s="33"/>
      <c r="T22" s="33"/>
    </row>
    <row r="23" spans="2:20" ht="32.25" customHeight="1" thickBot="1">
      <c r="B23" s="272" t="s">
        <v>176</v>
      </c>
      <c r="C23" s="272"/>
      <c r="D23" s="272"/>
      <c r="E23" s="272"/>
      <c r="F23" s="272"/>
      <c r="G23" s="272"/>
      <c r="H23" s="272"/>
      <c r="L23" s="84"/>
      <c r="M23" s="233" t="s">
        <v>145</v>
      </c>
      <c r="N23" s="233" t="s">
        <v>146</v>
      </c>
    </row>
    <row r="24" spans="2:20" ht="30.7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84"/>
      <c r="M24" s="287"/>
      <c r="N24" s="287"/>
    </row>
    <row r="25" spans="2:20" ht="41.2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3">
        <v>390854.97</v>
      </c>
      <c r="N25" s="203">
        <f>M25</f>
        <v>390854.97</v>
      </c>
    </row>
    <row r="26" spans="2:20" ht="38.25" customHeight="1">
      <c r="B26" s="19" t="s">
        <v>86</v>
      </c>
      <c r="C26" s="20" t="s">
        <v>97</v>
      </c>
      <c r="D26" s="21" t="s">
        <v>98</v>
      </c>
      <c r="E26" s="22">
        <v>1.52</v>
      </c>
      <c r="F26" s="23">
        <f>$M$25/$M$26*E26</f>
        <v>43587.641555392511</v>
      </c>
      <c r="G26" s="24">
        <f>$N$25/$N$26*E26</f>
        <v>43587.641555392511</v>
      </c>
      <c r="H26" s="25">
        <f>F26-G26</f>
        <v>0</v>
      </c>
      <c r="I26" s="26"/>
      <c r="J26" s="208"/>
      <c r="K26" s="92"/>
      <c r="L26" s="93"/>
      <c r="M26" s="203">
        <f>E35-E33</f>
        <v>13.63</v>
      </c>
      <c r="N26" s="203">
        <f>E35-E33</f>
        <v>13.63</v>
      </c>
    </row>
    <row r="27" spans="2:20" ht="51">
      <c r="B27" s="28" t="s">
        <v>90</v>
      </c>
      <c r="C27" s="20" t="s">
        <v>97</v>
      </c>
      <c r="D27" s="21" t="s">
        <v>98</v>
      </c>
      <c r="E27" s="29">
        <v>1.64</v>
      </c>
      <c r="F27" s="23">
        <f t="shared" ref="F27:F34" si="0">$M$25/$M$26*E27</f>
        <v>47028.771151870867</v>
      </c>
      <c r="G27" s="24">
        <f t="shared" ref="G27:G32" si="1">$N$25/$N$26*E27</f>
        <v>47028.771151870867</v>
      </c>
      <c r="H27" s="25">
        <f t="shared" ref="H27:H32" si="2">F27-G27</f>
        <v>0</v>
      </c>
      <c r="I27" s="31"/>
      <c r="J27" s="2"/>
      <c r="K27" s="97"/>
      <c r="L27" s="121"/>
      <c r="M27" s="204"/>
      <c r="N27" s="204"/>
    </row>
    <row r="28" spans="2:20" ht="33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9176.3455906089494</v>
      </c>
      <c r="G28" s="24">
        <f t="shared" si="1"/>
        <v>9176.3455906089494</v>
      </c>
      <c r="H28" s="25">
        <f t="shared" si="2"/>
        <v>0</v>
      </c>
      <c r="I28" s="33"/>
      <c r="L28" s="121"/>
      <c r="M28" s="205"/>
      <c r="N28" s="205"/>
    </row>
    <row r="29" spans="2:20" ht="25.5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16632.12638297872</v>
      </c>
      <c r="G29" s="24">
        <f t="shared" si="1"/>
        <v>16632.12638297872</v>
      </c>
      <c r="H29" s="25">
        <f t="shared" si="2"/>
        <v>0</v>
      </c>
      <c r="I29" s="33"/>
      <c r="L29" s="191"/>
      <c r="M29" s="204"/>
      <c r="N29" s="204"/>
    </row>
    <row r="30" spans="2:20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39572.990359501091</v>
      </c>
      <c r="G30" s="24">
        <f t="shared" si="1"/>
        <v>39572.990359501091</v>
      </c>
      <c r="H30" s="25">
        <f t="shared" si="2"/>
        <v>0</v>
      </c>
      <c r="I30" s="33"/>
    </row>
    <row r="31" spans="2:20" ht="214.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187541.56300807043</v>
      </c>
      <c r="G31" s="24">
        <f t="shared" si="1"/>
        <v>187541.56300807043</v>
      </c>
      <c r="H31" s="25">
        <f t="shared" si="2"/>
        <v>0</v>
      </c>
      <c r="I31" s="31"/>
      <c r="J31" s="2"/>
      <c r="K31" s="97"/>
      <c r="L31" s="98"/>
      <c r="M31" s="180"/>
      <c r="N31" s="180"/>
    </row>
    <row r="32" spans="2:20" ht="111.7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8029.3023917828323</v>
      </c>
      <c r="G32" s="24">
        <f t="shared" si="1"/>
        <v>8029.3023917828323</v>
      </c>
      <c r="H32" s="25">
        <f t="shared" si="2"/>
        <v>0</v>
      </c>
      <c r="I32" s="33"/>
    </row>
    <row r="33" spans="2:14" ht="30" customHeight="1">
      <c r="B33" s="32" t="s">
        <v>91</v>
      </c>
      <c r="C33" s="20" t="s">
        <v>97</v>
      </c>
      <c r="D33" s="21" t="s">
        <v>98</v>
      </c>
      <c r="E33" s="29">
        <v>4.9000000000000004</v>
      </c>
      <c r="F33" s="23">
        <v>140486.82999999999</v>
      </c>
      <c r="G33" s="30">
        <v>519974</v>
      </c>
      <c r="H33" s="25">
        <f>F33-G33</f>
        <v>-379487.17000000004</v>
      </c>
      <c r="I33" s="33"/>
      <c r="L33" s="84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1.37</v>
      </c>
      <c r="F34" s="23">
        <f t="shared" si="0"/>
        <v>39286.22955979457</v>
      </c>
      <c r="G34" s="24">
        <f t="shared" ref="G34" si="3">$N$25/$N$26*E34</f>
        <v>39286.22955979457</v>
      </c>
      <c r="H34" s="25">
        <f>F34-G34</f>
        <v>0</v>
      </c>
      <c r="I34" s="33"/>
    </row>
    <row r="35" spans="2:14" ht="16.5" thickBot="1">
      <c r="B35" s="39" t="s">
        <v>89</v>
      </c>
      <c r="C35" s="40"/>
      <c r="D35" s="40"/>
      <c r="E35" s="41">
        <f>SUM(E26:E34)</f>
        <v>18.53</v>
      </c>
      <c r="F35" s="42">
        <f>SUM(F26:F34)</f>
        <v>531341.79999999993</v>
      </c>
      <c r="G35" s="43">
        <f>SUM(G26:G34)</f>
        <v>910828.97</v>
      </c>
      <c r="H35" s="44">
        <f>SUM(H26:H34)</f>
        <v>-379487.17000000004</v>
      </c>
      <c r="I35" s="65"/>
      <c r="J35" s="5"/>
    </row>
    <row r="36" spans="2:14">
      <c r="B36" s="5"/>
      <c r="C36" s="5"/>
      <c r="D36" s="5"/>
      <c r="E36" s="14"/>
      <c r="F36" s="14"/>
      <c r="G36" s="14"/>
      <c r="H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39.75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57"/>
      <c r="J38" s="158"/>
      <c r="K38" s="193"/>
      <c r="L38" s="117"/>
      <c r="M38" s="181"/>
      <c r="N38" s="181"/>
    </row>
    <row r="39" spans="2:14">
      <c r="B39" s="150" t="s">
        <v>11</v>
      </c>
      <c r="C39" s="275">
        <f>E39+G39</f>
        <v>5016760.2695148252</v>
      </c>
      <c r="D39" s="288"/>
      <c r="E39" s="275">
        <f>F26+F27+F28+F29+F30+F31+F32+F34+E18</f>
        <v>3770466.4716935735</v>
      </c>
      <c r="F39" s="288"/>
      <c r="G39" s="275">
        <f>F33+G18</f>
        <v>1246293.7978212514</v>
      </c>
      <c r="H39" s="294"/>
      <c r="I39" s="159"/>
      <c r="J39" s="160"/>
      <c r="K39" s="120"/>
      <c r="L39" s="120"/>
      <c r="M39" s="204"/>
    </row>
    <row r="40" spans="2:14">
      <c r="B40" s="151" t="s">
        <v>12</v>
      </c>
      <c r="C40" s="239">
        <f>E40+G40</f>
        <v>4838744.4877628032</v>
      </c>
      <c r="D40" s="289"/>
      <c r="E40" s="239">
        <f>E19+365767.24</f>
        <v>3641045.032221592</v>
      </c>
      <c r="F40" s="289"/>
      <c r="G40" s="239">
        <f>G19+131470.14</f>
        <v>1197699.4555412116</v>
      </c>
      <c r="H40" s="295"/>
      <c r="I40" s="159"/>
      <c r="J40" s="161"/>
      <c r="K40" s="194"/>
      <c r="L40" s="120"/>
      <c r="M40" s="204"/>
    </row>
    <row r="41" spans="2:14" ht="16.5" thickBot="1">
      <c r="B41" s="152" t="s">
        <v>88</v>
      </c>
      <c r="C41" s="278">
        <f>E41+G41</f>
        <v>5315064.5916631576</v>
      </c>
      <c r="D41" s="285"/>
      <c r="E41" s="278">
        <f>G26+G27+G28+G29+G30+G31+G32+G34+E20</f>
        <v>3863572.5916631576</v>
      </c>
      <c r="F41" s="285"/>
      <c r="G41" s="278">
        <f>G33+G20</f>
        <v>1451492</v>
      </c>
      <c r="H41" s="293"/>
      <c r="I41" s="159"/>
      <c r="J41" s="48"/>
      <c r="K41" s="100"/>
      <c r="L41" s="100"/>
    </row>
    <row r="42" spans="2:14" ht="36" customHeight="1" thickBot="1">
      <c r="B42" s="153" t="s">
        <v>144</v>
      </c>
      <c r="C42" s="243">
        <f>E42+G42</f>
        <v>-476320.10390035389</v>
      </c>
      <c r="D42" s="286"/>
      <c r="E42" s="254">
        <f>E40-E41</f>
        <v>-222527.55944156554</v>
      </c>
      <c r="F42" s="286"/>
      <c r="G42" s="254">
        <f>G40-G41</f>
        <v>-253792.54445878835</v>
      </c>
      <c r="H42" s="296"/>
      <c r="I42" s="162"/>
      <c r="J42" s="147"/>
      <c r="K42" s="100"/>
      <c r="L42" s="100"/>
    </row>
    <row r="43" spans="2:14" ht="13.5" customHeight="1">
      <c r="B43" s="76"/>
      <c r="C43" s="145"/>
      <c r="D43" s="145"/>
      <c r="E43" s="147"/>
      <c r="F43" s="147"/>
      <c r="G43" s="147"/>
      <c r="H43" s="147"/>
      <c r="I43" s="52"/>
      <c r="J43" s="2"/>
      <c r="K43" s="97"/>
      <c r="L43" s="97"/>
      <c r="M43" s="180"/>
      <c r="N43" s="180"/>
    </row>
    <row r="44" spans="2:14" ht="1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52"/>
      <c r="J44" s="2"/>
      <c r="K44" s="97"/>
      <c r="L44" s="97"/>
      <c r="M44" s="180"/>
      <c r="N44" s="180"/>
    </row>
    <row r="45" spans="2:14" ht="9.75" customHeight="1">
      <c r="B45" s="52"/>
      <c r="C45" s="53"/>
      <c r="D45" s="53"/>
      <c r="E45" s="219"/>
      <c r="F45" s="259"/>
      <c r="G45" s="259"/>
      <c r="H45" s="52"/>
      <c r="I45" s="52"/>
      <c r="J45" s="2"/>
      <c r="K45" s="97"/>
      <c r="L45" s="97"/>
      <c r="M45" s="180"/>
      <c r="N45" s="180"/>
    </row>
    <row r="46" spans="2:14" ht="12.75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4" ht="4.5" customHeight="1">
      <c r="B47" s="52"/>
      <c r="C47" s="53"/>
      <c r="D47" s="53"/>
      <c r="E47" s="219"/>
      <c r="F47" s="258"/>
      <c r="G47" s="258"/>
      <c r="H47" s="52"/>
      <c r="I47" s="52"/>
    </row>
    <row r="48" spans="2:14" ht="16.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6"/>
    </row>
    <row r="49" spans="2:9" ht="7.5" customHeight="1">
      <c r="B49" s="54"/>
      <c r="C49" s="55"/>
      <c r="D49" s="55"/>
      <c r="E49" s="219"/>
      <c r="F49" s="183"/>
      <c r="G49" s="54"/>
      <c r="H49" s="56"/>
      <c r="I49" s="52"/>
    </row>
    <row r="50" spans="2:9" ht="13.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  <c r="I50" s="3"/>
    </row>
    <row r="51" spans="2:9">
      <c r="B51" s="8"/>
      <c r="C51" s="69"/>
      <c r="D51" s="70"/>
      <c r="E51" s="219"/>
      <c r="F51" s="8"/>
      <c r="G51" s="8"/>
    </row>
    <row r="54" spans="2:9">
      <c r="B54" s="8"/>
    </row>
  </sheetData>
  <mergeCells count="60">
    <mergeCell ref="B2:H2"/>
    <mergeCell ref="B3:H3"/>
    <mergeCell ref="B4:H4"/>
    <mergeCell ref="G38:H38"/>
    <mergeCell ref="G17:H17"/>
    <mergeCell ref="C18:D18"/>
    <mergeCell ref="E18:F18"/>
    <mergeCell ref="G18:H18"/>
    <mergeCell ref="C19:D19"/>
    <mergeCell ref="E19:F19"/>
    <mergeCell ref="G19:H19"/>
    <mergeCell ref="C20:D20"/>
    <mergeCell ref="C21:D21"/>
    <mergeCell ref="E21:F21"/>
    <mergeCell ref="G21:H21"/>
    <mergeCell ref="B1:H1"/>
    <mergeCell ref="F50:G50"/>
    <mergeCell ref="F46:G46"/>
    <mergeCell ref="E40:F40"/>
    <mergeCell ref="F47:G47"/>
    <mergeCell ref="E39:F39"/>
    <mergeCell ref="E42:F42"/>
    <mergeCell ref="B5:H6"/>
    <mergeCell ref="G39:H39"/>
    <mergeCell ref="D24:D25"/>
    <mergeCell ref="F44:G44"/>
    <mergeCell ref="E41:F41"/>
    <mergeCell ref="F45:G45"/>
    <mergeCell ref="G40:H40"/>
    <mergeCell ref="G41:H41"/>
    <mergeCell ref="G42:H42"/>
    <mergeCell ref="O5:R7"/>
    <mergeCell ref="P8:R8"/>
    <mergeCell ref="P15:Q15"/>
    <mergeCell ref="F24:G24"/>
    <mergeCell ref="B37:H37"/>
    <mergeCell ref="B23:H23"/>
    <mergeCell ref="H24:H25"/>
    <mergeCell ref="B24:B25"/>
    <mergeCell ref="C24:C25"/>
    <mergeCell ref="D8:E8"/>
    <mergeCell ref="E24:E25"/>
    <mergeCell ref="B16:H16"/>
    <mergeCell ref="C17:D17"/>
    <mergeCell ref="E17:F17"/>
    <mergeCell ref="E20:F20"/>
    <mergeCell ref="G20:H20"/>
    <mergeCell ref="M23:M24"/>
    <mergeCell ref="N23:N24"/>
    <mergeCell ref="C38:D38"/>
    <mergeCell ref="C39:D39"/>
    <mergeCell ref="C40:D40"/>
    <mergeCell ref="E38:F38"/>
    <mergeCell ref="F48:G48"/>
    <mergeCell ref="C50:E50"/>
    <mergeCell ref="C41:D41"/>
    <mergeCell ref="C42:D42"/>
    <mergeCell ref="C44:E44"/>
    <mergeCell ref="C46:E46"/>
    <mergeCell ref="C48:E48"/>
  </mergeCells>
  <printOptions horizontalCentered="1"/>
  <pageMargins left="0.19685039370078741" right="0.19685039370078741" top="0.15748031496062992" bottom="0.24" header="0.16" footer="0.2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tabColor rgb="FF0070C0"/>
    <pageSetUpPr fitToPage="1"/>
  </sheetPr>
  <dimension ref="A1:U51"/>
  <sheetViews>
    <sheetView topLeftCell="B1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1" customWidth="1"/>
    <col min="2" max="2" width="56" style="1" customWidth="1"/>
    <col min="3" max="3" width="15.140625" style="14" customWidth="1"/>
    <col min="4" max="4" width="9.5703125" style="3" customWidth="1"/>
    <col min="5" max="5" width="10.140625" style="3" customWidth="1"/>
    <col min="6" max="6" width="10.140625" style="1" customWidth="1"/>
    <col min="7" max="7" width="10.28515625" style="1" customWidth="1"/>
    <col min="8" max="8" width="10.42578125" style="1" customWidth="1"/>
    <col min="9" max="9" width="14.7109375" style="1" customWidth="1"/>
    <col min="10" max="10" width="15.42578125" style="1" customWidth="1"/>
    <col min="11" max="12" width="9.140625" style="1"/>
    <col min="13" max="13" width="16.140625" style="179" customWidth="1"/>
    <col min="14" max="14" width="18.42578125" style="179" customWidth="1"/>
    <col min="15" max="15" width="0" style="1" hidden="1" customWidth="1"/>
    <col min="16" max="16" width="10.42578125" style="1" customWidth="1"/>
    <col min="17" max="17" width="11.85546875" style="1" customWidth="1"/>
    <col min="18" max="19" width="9.140625" style="1"/>
    <col min="20" max="20" width="10" style="1" customWidth="1"/>
    <col min="21" max="21" width="11" style="1" customWidth="1"/>
    <col min="22" max="16384" width="9.140625" style="1"/>
  </cols>
  <sheetData>
    <row r="1" spans="1:21">
      <c r="A1" s="6"/>
      <c r="B1" s="262" t="s">
        <v>119</v>
      </c>
      <c r="C1" s="262"/>
      <c r="D1" s="262"/>
      <c r="E1" s="262"/>
      <c r="F1" s="262"/>
      <c r="G1" s="262"/>
      <c r="H1" s="262"/>
      <c r="N1" s="205"/>
      <c r="O1" s="57"/>
      <c r="P1" s="56"/>
      <c r="Q1" s="56"/>
      <c r="R1" s="56"/>
      <c r="S1" s="6"/>
      <c r="T1" s="6"/>
      <c r="U1" s="6"/>
    </row>
    <row r="2" spans="1:21">
      <c r="A2" s="6"/>
      <c r="B2" s="262" t="s">
        <v>120</v>
      </c>
      <c r="C2" s="262"/>
      <c r="D2" s="262"/>
      <c r="E2" s="262"/>
      <c r="F2" s="262"/>
      <c r="G2" s="262"/>
      <c r="H2" s="262"/>
      <c r="N2" s="205"/>
      <c r="O2" s="57"/>
      <c r="P2" s="56"/>
      <c r="Q2" s="56"/>
      <c r="R2" s="56"/>
      <c r="S2" s="6"/>
      <c r="T2" s="6"/>
      <c r="U2" s="6"/>
    </row>
    <row r="3" spans="1:21">
      <c r="A3" s="6"/>
      <c r="B3" s="262" t="s">
        <v>157</v>
      </c>
      <c r="C3" s="262"/>
      <c r="D3" s="262"/>
      <c r="E3" s="262"/>
      <c r="F3" s="262"/>
      <c r="G3" s="262"/>
      <c r="H3" s="262"/>
      <c r="N3" s="205"/>
      <c r="O3" s="57"/>
      <c r="P3" s="56"/>
      <c r="Q3" s="56"/>
      <c r="R3" s="56"/>
      <c r="S3" s="6"/>
      <c r="T3" s="6"/>
      <c r="U3" s="6"/>
    </row>
    <row r="4" spans="1:21">
      <c r="A4" s="6"/>
      <c r="B4" s="262" t="s">
        <v>174</v>
      </c>
      <c r="C4" s="262"/>
      <c r="D4" s="262"/>
      <c r="E4" s="262"/>
      <c r="F4" s="262"/>
      <c r="G4" s="262"/>
      <c r="H4" s="262"/>
      <c r="N4" s="205"/>
      <c r="O4" s="57"/>
      <c r="P4" s="56"/>
      <c r="Q4" s="56"/>
      <c r="R4" s="56"/>
      <c r="S4" s="6"/>
      <c r="T4" s="6"/>
      <c r="U4" s="6"/>
    </row>
    <row r="5" spans="1:21" ht="19.5" customHeight="1">
      <c r="A5" s="74"/>
      <c r="B5" s="263" t="s">
        <v>175</v>
      </c>
      <c r="C5" s="263"/>
      <c r="D5" s="263"/>
      <c r="E5" s="263"/>
      <c r="F5" s="263"/>
      <c r="G5" s="263"/>
      <c r="H5" s="263"/>
      <c r="N5" s="297"/>
      <c r="O5" s="297"/>
      <c r="P5" s="297"/>
      <c r="Q5" s="297"/>
      <c r="R5" s="297"/>
      <c r="S5" s="215"/>
      <c r="T5" s="215"/>
      <c r="U5" s="75"/>
    </row>
    <row r="6" spans="1:21" ht="20.25" customHeight="1">
      <c r="A6" s="74"/>
      <c r="B6" s="263"/>
      <c r="C6" s="263"/>
      <c r="D6" s="263"/>
      <c r="E6" s="263"/>
      <c r="F6" s="263"/>
      <c r="G6" s="263"/>
      <c r="H6" s="263"/>
      <c r="N6" s="206"/>
      <c r="O6" s="215"/>
      <c r="P6" s="215"/>
      <c r="Q6" s="215"/>
      <c r="R6" s="215"/>
      <c r="S6" s="215"/>
      <c r="T6" s="215"/>
      <c r="U6" s="75"/>
    </row>
    <row r="7" spans="1:21" ht="9.75" customHeight="1">
      <c r="A7" s="74"/>
      <c r="B7" s="218"/>
      <c r="C7" s="218"/>
      <c r="D7" s="218"/>
      <c r="E7" s="218"/>
      <c r="F7" s="218"/>
      <c r="G7" s="218"/>
      <c r="H7" s="218"/>
      <c r="N7" s="206"/>
      <c r="O7" s="215"/>
      <c r="P7" s="215"/>
      <c r="Q7" s="215"/>
      <c r="R7" s="215"/>
      <c r="S7" s="215"/>
      <c r="T7" s="215"/>
      <c r="U7" s="75"/>
    </row>
    <row r="8" spans="1:21">
      <c r="A8" s="6"/>
      <c r="B8" s="163" t="s">
        <v>0</v>
      </c>
      <c r="C8" s="164"/>
      <c r="D8" s="270" t="s">
        <v>36</v>
      </c>
      <c r="E8" s="270"/>
      <c r="F8" s="6"/>
      <c r="G8" s="6"/>
      <c r="H8" s="6"/>
      <c r="N8" s="182"/>
      <c r="O8" s="11"/>
      <c r="P8" s="298"/>
      <c r="Q8" s="298"/>
      <c r="R8" s="298"/>
      <c r="S8" s="49"/>
      <c r="T8" s="49"/>
      <c r="U8" s="6"/>
    </row>
    <row r="9" spans="1:21">
      <c r="A9" s="6"/>
      <c r="B9" s="163" t="s">
        <v>1</v>
      </c>
      <c r="C9" s="164"/>
      <c r="D9" s="209">
        <v>1966</v>
      </c>
      <c r="E9" s="209"/>
      <c r="F9" s="6"/>
      <c r="G9" s="6"/>
      <c r="H9" s="6"/>
      <c r="N9" s="182"/>
      <c r="O9" s="11"/>
      <c r="P9" s="216"/>
      <c r="Q9" s="216"/>
      <c r="R9" s="216"/>
      <c r="S9" s="49"/>
      <c r="T9" s="49"/>
      <c r="U9" s="6"/>
    </row>
    <row r="10" spans="1:21" hidden="1" outlineLevel="1">
      <c r="A10" s="6"/>
      <c r="B10" s="163" t="s">
        <v>2</v>
      </c>
      <c r="C10" s="164"/>
      <c r="D10" s="209">
        <v>4</v>
      </c>
      <c r="E10" s="209"/>
      <c r="F10" s="6"/>
      <c r="G10" s="6"/>
      <c r="H10" s="6"/>
      <c r="N10" s="182"/>
      <c r="O10" s="11"/>
      <c r="P10" s="216"/>
      <c r="Q10" s="216"/>
      <c r="R10" s="216"/>
      <c r="S10" s="49"/>
      <c r="T10" s="49"/>
      <c r="U10" s="6"/>
    </row>
    <row r="11" spans="1:21" hidden="1" outlineLevel="1">
      <c r="A11" s="6"/>
      <c r="B11" s="163" t="s">
        <v>3</v>
      </c>
      <c r="C11" s="164"/>
      <c r="D11" s="209">
        <v>32</v>
      </c>
      <c r="E11" s="209"/>
      <c r="F11" s="6"/>
      <c r="G11" s="6"/>
      <c r="H11" s="6"/>
      <c r="N11" s="182"/>
      <c r="O11" s="11"/>
      <c r="P11" s="216"/>
      <c r="Q11" s="216"/>
      <c r="R11" s="216"/>
      <c r="S11" s="49"/>
      <c r="T11" s="49"/>
      <c r="U11" s="6"/>
    </row>
    <row r="12" spans="1:21" ht="30.75" hidden="1" customHeight="1" outlineLevel="1">
      <c r="A12" s="6"/>
      <c r="B12" s="165" t="s">
        <v>4</v>
      </c>
      <c r="C12" s="166"/>
      <c r="D12" s="209" t="s">
        <v>37</v>
      </c>
      <c r="E12" s="209"/>
      <c r="F12" s="6"/>
      <c r="G12" s="6"/>
      <c r="H12" s="6"/>
      <c r="N12" s="207"/>
      <c r="O12" s="77"/>
      <c r="P12" s="216"/>
      <c r="Q12" s="216"/>
      <c r="R12" s="216"/>
      <c r="S12" s="49"/>
      <c r="T12" s="49"/>
      <c r="U12" s="6"/>
    </row>
    <row r="13" spans="1:21" collapsed="1">
      <c r="A13" s="6"/>
      <c r="B13" s="163" t="s">
        <v>5</v>
      </c>
      <c r="C13" s="164"/>
      <c r="D13" s="209" t="s">
        <v>109</v>
      </c>
      <c r="E13" s="209"/>
      <c r="F13" s="6"/>
      <c r="G13" s="6"/>
      <c r="H13" s="6"/>
      <c r="I13" s="5"/>
      <c r="N13" s="182"/>
      <c r="O13" s="11"/>
      <c r="P13" s="216"/>
      <c r="Q13" s="216"/>
      <c r="R13" s="216"/>
      <c r="S13" s="49"/>
      <c r="T13" s="49"/>
      <c r="U13" s="6"/>
    </row>
    <row r="14" spans="1:21" hidden="1" outlineLevel="1">
      <c r="A14" s="6"/>
      <c r="B14" s="6" t="s">
        <v>6</v>
      </c>
      <c r="C14" s="57"/>
      <c r="D14" s="212" t="s">
        <v>7</v>
      </c>
      <c r="E14" s="212"/>
      <c r="F14" s="6"/>
      <c r="G14" s="6"/>
      <c r="H14" s="6"/>
      <c r="N14" s="182"/>
      <c r="O14" s="11"/>
      <c r="P14" s="216"/>
      <c r="Q14" s="216"/>
      <c r="R14" s="216"/>
      <c r="S14" s="49"/>
      <c r="T14" s="49"/>
      <c r="U14" s="6"/>
    </row>
    <row r="15" spans="1:21" ht="30.75" hidden="1" customHeight="1" outlineLevel="1">
      <c r="A15" s="6"/>
      <c r="B15" s="58" t="s">
        <v>8</v>
      </c>
      <c r="C15" s="59"/>
      <c r="D15" s="148" t="s">
        <v>38</v>
      </c>
      <c r="E15" s="212"/>
      <c r="F15" s="6"/>
      <c r="G15" s="6"/>
      <c r="H15" s="6"/>
      <c r="I15" s="5"/>
      <c r="N15" s="207"/>
      <c r="O15" s="77"/>
      <c r="P15" s="299"/>
      <c r="Q15" s="299"/>
      <c r="R15" s="216"/>
      <c r="S15" s="49"/>
      <c r="T15" s="49"/>
      <c r="U15" s="6"/>
    </row>
    <row r="16" spans="1:21" ht="16.5" collapsed="1" thickBot="1">
      <c r="A16" s="6"/>
      <c r="B16" s="249" t="s">
        <v>172</v>
      </c>
      <c r="C16" s="249"/>
      <c r="D16" s="249"/>
      <c r="E16" s="249"/>
      <c r="F16" s="249"/>
      <c r="G16" s="249"/>
      <c r="H16" s="249"/>
      <c r="I16" s="5"/>
      <c r="N16" s="207"/>
      <c r="O16" s="77"/>
      <c r="P16" s="217"/>
      <c r="Q16" s="217"/>
      <c r="R16" s="216"/>
      <c r="S16" s="49"/>
      <c r="T16" s="49"/>
      <c r="U16" s="6"/>
    </row>
    <row r="17" spans="1:21" ht="40.5" customHeight="1" thickBot="1">
      <c r="A17" s="6"/>
      <c r="B17" s="200" t="s">
        <v>173</v>
      </c>
      <c r="C17" s="235" t="s">
        <v>101</v>
      </c>
      <c r="D17" s="236"/>
      <c r="E17" s="245" t="s">
        <v>9</v>
      </c>
      <c r="F17" s="246"/>
      <c r="G17" s="245" t="s">
        <v>10</v>
      </c>
      <c r="H17" s="252"/>
      <c r="I17" s="5"/>
      <c r="N17" s="207"/>
      <c r="O17" s="77"/>
      <c r="P17" s="217"/>
      <c r="Q17" s="217"/>
      <c r="R17" s="216"/>
      <c r="S17" s="49"/>
      <c r="T17" s="49"/>
      <c r="U17" s="6"/>
    </row>
    <row r="18" spans="1:21">
      <c r="A18" s="6"/>
      <c r="B18" s="150" t="s">
        <v>11</v>
      </c>
      <c r="C18" s="275">
        <v>3104114.62</v>
      </c>
      <c r="D18" s="276"/>
      <c r="E18" s="237">
        <v>2318316.35</v>
      </c>
      <c r="F18" s="238"/>
      <c r="G18" s="237">
        <v>785798.27000000014</v>
      </c>
      <c r="H18" s="253"/>
      <c r="I18" s="5"/>
      <c r="N18" s="207"/>
      <c r="O18" s="77"/>
      <c r="P18" s="217"/>
      <c r="Q18" s="217"/>
      <c r="R18" s="216"/>
      <c r="S18" s="49"/>
      <c r="T18" s="49"/>
      <c r="U18" s="6"/>
    </row>
    <row r="19" spans="1:21">
      <c r="A19" s="6"/>
      <c r="B19" s="151" t="s">
        <v>12</v>
      </c>
      <c r="C19" s="239">
        <v>3067780.9299999997</v>
      </c>
      <c r="D19" s="277"/>
      <c r="E19" s="239">
        <v>2290418.65</v>
      </c>
      <c r="F19" s="240"/>
      <c r="G19" s="239">
        <v>777362.28</v>
      </c>
      <c r="H19" s="250"/>
      <c r="I19" s="5"/>
      <c r="N19" s="207"/>
      <c r="O19" s="77"/>
      <c r="P19" s="217"/>
      <c r="Q19" s="217"/>
      <c r="R19" s="216"/>
      <c r="S19" s="49"/>
      <c r="T19" s="49"/>
      <c r="U19" s="6"/>
    </row>
    <row r="20" spans="1:21" ht="16.5" thickBot="1">
      <c r="A20" s="6"/>
      <c r="B20" s="152" t="s">
        <v>88</v>
      </c>
      <c r="C20" s="278">
        <v>3042787.6580999997</v>
      </c>
      <c r="D20" s="279"/>
      <c r="E20" s="241">
        <v>2340883.6580999997</v>
      </c>
      <c r="F20" s="242"/>
      <c r="G20" s="241">
        <v>701904</v>
      </c>
      <c r="H20" s="251"/>
      <c r="I20" s="5"/>
      <c r="N20" s="207"/>
      <c r="O20" s="77"/>
      <c r="P20" s="217"/>
      <c r="Q20" s="217"/>
      <c r="R20" s="216"/>
      <c r="S20" s="49"/>
      <c r="T20" s="49"/>
      <c r="U20" s="6"/>
    </row>
    <row r="21" spans="1:21" ht="36.75" thickBot="1">
      <c r="A21" s="6"/>
      <c r="B21" s="153" t="s">
        <v>143</v>
      </c>
      <c r="C21" s="243">
        <f>E21+G21</f>
        <v>24993.271900000283</v>
      </c>
      <c r="D21" s="244"/>
      <c r="E21" s="254">
        <f>E19-E20</f>
        <v>-50465.008099999744</v>
      </c>
      <c r="F21" s="255"/>
      <c r="G21" s="254">
        <f>G19-G20</f>
        <v>75458.280000000028</v>
      </c>
      <c r="H21" s="256"/>
      <c r="I21" s="5"/>
      <c r="N21" s="207"/>
      <c r="O21" s="77"/>
      <c r="P21" s="217"/>
      <c r="Q21" s="217"/>
      <c r="R21" s="216"/>
      <c r="S21" s="49"/>
      <c r="T21" s="49"/>
      <c r="U21" s="6"/>
    </row>
    <row r="22" spans="1:21">
      <c r="A22" s="6"/>
      <c r="B22" s="58"/>
      <c r="C22" s="59"/>
      <c r="D22" s="148"/>
      <c r="E22" s="212"/>
      <c r="F22" s="6"/>
      <c r="G22" s="6"/>
      <c r="H22" s="6"/>
      <c r="I22" s="5"/>
      <c r="N22" s="207"/>
      <c r="O22" s="77"/>
      <c r="P22" s="217"/>
      <c r="Q22" s="217"/>
      <c r="R22" s="216"/>
      <c r="S22" s="49"/>
      <c r="T22" s="49"/>
      <c r="U22" s="6"/>
    </row>
    <row r="23" spans="1:21" ht="30" customHeight="1" thickBot="1">
      <c r="B23" s="272" t="s">
        <v>176</v>
      </c>
      <c r="C23" s="272"/>
      <c r="D23" s="272"/>
      <c r="E23" s="272"/>
      <c r="F23" s="272"/>
      <c r="G23" s="272"/>
      <c r="H23" s="272"/>
      <c r="L23" s="5"/>
      <c r="M23" s="233" t="s">
        <v>145</v>
      </c>
      <c r="N23" s="233" t="s">
        <v>146</v>
      </c>
    </row>
    <row r="24" spans="1:21" ht="34.5" customHeight="1">
      <c r="B24" s="268" t="s">
        <v>94</v>
      </c>
      <c r="C24" s="266" t="s">
        <v>95</v>
      </c>
      <c r="D24" s="266" t="s">
        <v>116</v>
      </c>
      <c r="E24" s="273" t="s">
        <v>177</v>
      </c>
      <c r="F24" s="247" t="s">
        <v>96</v>
      </c>
      <c r="G24" s="248"/>
      <c r="H24" s="264" t="s">
        <v>122</v>
      </c>
      <c r="L24" s="5"/>
      <c r="M24" s="234"/>
      <c r="N24" s="234"/>
    </row>
    <row r="25" spans="1:21" ht="39.75" customHeight="1" thickBot="1">
      <c r="B25" s="269"/>
      <c r="C25" s="267"/>
      <c r="D25" s="267"/>
      <c r="E25" s="274"/>
      <c r="F25" s="17" t="s">
        <v>81</v>
      </c>
      <c r="G25" s="18" t="s">
        <v>82</v>
      </c>
      <c r="H25" s="265"/>
      <c r="M25" s="201">
        <v>243056.86</v>
      </c>
      <c r="N25" s="201">
        <f>M25</f>
        <v>243056.86</v>
      </c>
    </row>
    <row r="26" spans="1:21" ht="40.5" customHeight="1">
      <c r="B26" s="19" t="s">
        <v>86</v>
      </c>
      <c r="C26" s="20" t="s">
        <v>97</v>
      </c>
      <c r="D26" s="21" t="s">
        <v>98</v>
      </c>
      <c r="E26" s="22">
        <v>1.74</v>
      </c>
      <c r="F26" s="23">
        <f>$M$25/$M$26*E26</f>
        <v>29888.264056537111</v>
      </c>
      <c r="G26" s="24">
        <f>$N$25/$N$26*E26</f>
        <v>29888.264056537111</v>
      </c>
      <c r="H26" s="25">
        <f>F26-G26</f>
        <v>0</v>
      </c>
      <c r="I26" s="26"/>
      <c r="J26" s="208"/>
      <c r="K26" s="208"/>
      <c r="L26" s="27"/>
      <c r="M26" s="203">
        <f>E35-E33</f>
        <v>14.149999999999995</v>
      </c>
      <c r="N26" s="203">
        <f>E35-E33</f>
        <v>14.149999999999995</v>
      </c>
    </row>
    <row r="27" spans="1:21" ht="51">
      <c r="B27" s="28" t="s">
        <v>90</v>
      </c>
      <c r="C27" s="20" t="s">
        <v>97</v>
      </c>
      <c r="D27" s="21" t="s">
        <v>98</v>
      </c>
      <c r="E27" s="29">
        <v>1.91</v>
      </c>
      <c r="F27" s="23">
        <f t="shared" ref="F27:F34" si="0">$M$25/$M$26*E27</f>
        <v>32808.381809187289</v>
      </c>
      <c r="G27" s="24">
        <f t="shared" ref="G27:G31" si="1">$N$25/$N$26*E27</f>
        <v>32808.381809187289</v>
      </c>
      <c r="H27" s="25">
        <f t="shared" ref="H27:H32" si="2">F27-G27</f>
        <v>0</v>
      </c>
      <c r="I27" s="31"/>
      <c r="J27" s="2"/>
      <c r="K27" s="2"/>
      <c r="L27" s="2"/>
      <c r="M27" s="180"/>
      <c r="N27" s="180"/>
    </row>
    <row r="28" spans="1:21" ht="31.5" customHeight="1">
      <c r="B28" s="32" t="s">
        <v>83</v>
      </c>
      <c r="C28" s="20" t="s">
        <v>97</v>
      </c>
      <c r="D28" s="21" t="s">
        <v>98</v>
      </c>
      <c r="E28" s="29">
        <v>0.32</v>
      </c>
      <c r="F28" s="23">
        <f t="shared" si="0"/>
        <v>5496.6922402826876</v>
      </c>
      <c r="G28" s="24">
        <f t="shared" si="1"/>
        <v>5496.6922402826876</v>
      </c>
      <c r="H28" s="25">
        <f t="shared" si="2"/>
        <v>0</v>
      </c>
      <c r="I28" s="33"/>
      <c r="L28" s="5"/>
    </row>
    <row r="29" spans="1:21" ht="25.5">
      <c r="B29" s="32" t="s">
        <v>84</v>
      </c>
      <c r="C29" s="34" t="s">
        <v>99</v>
      </c>
      <c r="D29" s="21" t="s">
        <v>98</v>
      </c>
      <c r="E29" s="29">
        <v>0.57999999999999996</v>
      </c>
      <c r="F29" s="23">
        <f t="shared" si="0"/>
        <v>9962.7546855123692</v>
      </c>
      <c r="G29" s="24">
        <f t="shared" si="1"/>
        <v>9962.7546855123692</v>
      </c>
      <c r="H29" s="25">
        <f t="shared" si="2"/>
        <v>0</v>
      </c>
      <c r="I29" s="33"/>
      <c r="L29" s="5"/>
    </row>
    <row r="30" spans="1:21" ht="51">
      <c r="B30" s="28" t="s">
        <v>87</v>
      </c>
      <c r="C30" s="20" t="s">
        <v>134</v>
      </c>
      <c r="D30" s="21" t="s">
        <v>98</v>
      </c>
      <c r="E30" s="29">
        <v>1.38</v>
      </c>
      <c r="F30" s="23">
        <f t="shared" si="0"/>
        <v>23704.485286219086</v>
      </c>
      <c r="G30" s="24">
        <f t="shared" si="1"/>
        <v>23704.485286219086</v>
      </c>
      <c r="H30" s="25">
        <f t="shared" si="2"/>
        <v>0</v>
      </c>
      <c r="I30" s="33"/>
    </row>
    <row r="31" spans="1:21" ht="217.5" customHeight="1">
      <c r="B31" s="28" t="s">
        <v>121</v>
      </c>
      <c r="C31" s="20" t="s">
        <v>100</v>
      </c>
      <c r="D31" s="21" t="s">
        <v>98</v>
      </c>
      <c r="E31" s="29">
        <v>6.54</v>
      </c>
      <c r="F31" s="23">
        <f t="shared" si="0"/>
        <v>112338.64766077742</v>
      </c>
      <c r="G31" s="24">
        <f t="shared" si="1"/>
        <v>112338.64766077742</v>
      </c>
      <c r="H31" s="25">
        <f t="shared" si="2"/>
        <v>0</v>
      </c>
      <c r="I31" s="31"/>
      <c r="J31" s="2"/>
      <c r="K31" s="2"/>
      <c r="L31" s="4"/>
      <c r="M31" s="180"/>
      <c r="N31" s="180"/>
    </row>
    <row r="32" spans="1:21" ht="105.75" customHeight="1">
      <c r="B32" s="28" t="s">
        <v>102</v>
      </c>
      <c r="C32" s="20" t="s">
        <v>97</v>
      </c>
      <c r="D32" s="21" t="s">
        <v>98</v>
      </c>
      <c r="E32" s="29">
        <v>0.28000000000000003</v>
      </c>
      <c r="F32" s="23">
        <f t="shared" si="0"/>
        <v>4809.6057102473515</v>
      </c>
      <c r="G32" s="24">
        <f t="shared" ref="G32" si="3">$N$25/$N$26*E32</f>
        <v>4809.6057102473515</v>
      </c>
      <c r="H32" s="25">
        <f t="shared" si="2"/>
        <v>0</v>
      </c>
      <c r="I32" s="33"/>
    </row>
    <row r="33" spans="2:14" ht="25.5" customHeight="1">
      <c r="B33" s="32" t="s">
        <v>91</v>
      </c>
      <c r="C33" s="20" t="s">
        <v>97</v>
      </c>
      <c r="D33" s="21" t="s">
        <v>98</v>
      </c>
      <c r="E33" s="29">
        <v>4.8</v>
      </c>
      <c r="F33" s="23">
        <v>82320.86</v>
      </c>
      <c r="G33" s="30">
        <v>22814</v>
      </c>
      <c r="H33" s="25">
        <f>F33-G33</f>
        <v>59506.86</v>
      </c>
      <c r="I33" s="33"/>
      <c r="L33" s="5"/>
    </row>
    <row r="34" spans="2:14" ht="16.5" thickBot="1">
      <c r="B34" s="62" t="s">
        <v>85</v>
      </c>
      <c r="C34" s="36" t="s">
        <v>100</v>
      </c>
      <c r="D34" s="37" t="s">
        <v>98</v>
      </c>
      <c r="E34" s="38">
        <v>1.4</v>
      </c>
      <c r="F34" s="23">
        <f t="shared" si="0"/>
        <v>24048.028551236755</v>
      </c>
      <c r="G34" s="24">
        <f t="shared" ref="G34" si="4">$N$25/$N$26*E34</f>
        <v>24048.028551236755</v>
      </c>
      <c r="H34" s="25">
        <f>F34-G34</f>
        <v>0</v>
      </c>
      <c r="I34" s="33"/>
    </row>
    <row r="35" spans="2:14" ht="16.5" thickBot="1">
      <c r="B35" s="39" t="s">
        <v>89</v>
      </c>
      <c r="C35" s="40"/>
      <c r="D35" s="40"/>
      <c r="E35" s="41">
        <f>SUM(E26:E34)</f>
        <v>18.949999999999996</v>
      </c>
      <c r="F35" s="42">
        <f>SUM(F26:F34)</f>
        <v>325377.72000000009</v>
      </c>
      <c r="G35" s="43">
        <f>SUM(G26:G34)</f>
        <v>265870.8600000001</v>
      </c>
      <c r="H35" s="44">
        <f>SUM(H26:H34)</f>
        <v>59506.86</v>
      </c>
      <c r="I35" s="65"/>
      <c r="J35" s="5"/>
    </row>
    <row r="36" spans="2:14">
      <c r="B36" s="5"/>
      <c r="C36" s="5"/>
      <c r="D36" s="5"/>
      <c r="E36" s="14"/>
      <c r="F36" s="14"/>
      <c r="G36" s="14"/>
      <c r="H36" s="3"/>
    </row>
    <row r="37" spans="2:14" ht="16.5" customHeight="1" thickBot="1">
      <c r="B37" s="249" t="s">
        <v>178</v>
      </c>
      <c r="C37" s="249"/>
      <c r="D37" s="249"/>
      <c r="E37" s="249"/>
      <c r="F37" s="249"/>
      <c r="G37" s="249"/>
      <c r="H37" s="249"/>
      <c r="I37" s="45"/>
      <c r="J37" s="45"/>
    </row>
    <row r="38" spans="2:14" ht="57" customHeight="1" thickBot="1">
      <c r="B38" s="200" t="s">
        <v>179</v>
      </c>
      <c r="C38" s="235" t="s">
        <v>101</v>
      </c>
      <c r="D38" s="236"/>
      <c r="E38" s="245" t="s">
        <v>9</v>
      </c>
      <c r="F38" s="246"/>
      <c r="G38" s="245" t="s">
        <v>10</v>
      </c>
      <c r="H38" s="252"/>
      <c r="I38" s="157"/>
      <c r="J38" s="158"/>
      <c r="K38" s="46"/>
      <c r="L38" s="47"/>
      <c r="M38" s="181"/>
      <c r="N38" s="181"/>
    </row>
    <row r="39" spans="2:14">
      <c r="B39" s="150" t="s">
        <v>11</v>
      </c>
      <c r="C39" s="237">
        <f>E39+G39</f>
        <v>3429492.34</v>
      </c>
      <c r="D39" s="238"/>
      <c r="E39" s="237">
        <f>F26+F27+F28+F29+F30+F31+F32+F34+E18</f>
        <v>2561373.21</v>
      </c>
      <c r="F39" s="238"/>
      <c r="G39" s="237">
        <f>F33+G18</f>
        <v>868119.13000000012</v>
      </c>
      <c r="H39" s="253"/>
      <c r="I39" s="159"/>
      <c r="J39" s="160"/>
      <c r="K39" s="49"/>
      <c r="L39" s="49"/>
      <c r="M39" s="204"/>
    </row>
    <row r="40" spans="2:14">
      <c r="B40" s="151" t="s">
        <v>12</v>
      </c>
      <c r="C40" s="239">
        <f>E40+G40</f>
        <v>3398802.48</v>
      </c>
      <c r="D40" s="240"/>
      <c r="E40" s="239">
        <f>E19+246047.77</f>
        <v>2536466.42</v>
      </c>
      <c r="F40" s="240"/>
      <c r="G40" s="239">
        <f>G19+84973.78</f>
        <v>862336.06</v>
      </c>
      <c r="H40" s="250"/>
      <c r="I40" s="159"/>
      <c r="J40" s="161"/>
      <c r="K40" s="51"/>
      <c r="L40" s="49"/>
      <c r="M40" s="204"/>
    </row>
    <row r="41" spans="2:14" ht="16.5" thickBot="1">
      <c r="B41" s="152" t="s">
        <v>88</v>
      </c>
      <c r="C41" s="241">
        <f>E41+G41</f>
        <v>3308658.5180999995</v>
      </c>
      <c r="D41" s="242"/>
      <c r="E41" s="241">
        <f>G26+G27+G28+G29+G30+G31+G32+G34+E20</f>
        <v>2583940.5180999995</v>
      </c>
      <c r="F41" s="242"/>
      <c r="G41" s="241">
        <f>G33+G20</f>
        <v>724718</v>
      </c>
      <c r="H41" s="251"/>
      <c r="I41" s="159"/>
      <c r="J41" s="48"/>
      <c r="K41" s="33"/>
      <c r="L41" s="33"/>
    </row>
    <row r="42" spans="2:14" ht="30.75" customHeight="1" thickBot="1">
      <c r="B42" s="153" t="s">
        <v>144</v>
      </c>
      <c r="C42" s="243">
        <f>E42+G42</f>
        <v>90143.96190000046</v>
      </c>
      <c r="D42" s="244"/>
      <c r="E42" s="254">
        <f>E40-E41</f>
        <v>-47474.098099999595</v>
      </c>
      <c r="F42" s="255"/>
      <c r="G42" s="254">
        <f>G40-G41</f>
        <v>137618.06000000006</v>
      </c>
      <c r="H42" s="256"/>
      <c r="I42" s="162"/>
      <c r="J42" s="147"/>
      <c r="K42" s="33"/>
      <c r="L42" s="33"/>
    </row>
    <row r="43" spans="2:14" ht="16.5" customHeight="1">
      <c r="B43" s="76"/>
      <c r="C43" s="145"/>
      <c r="D43" s="145"/>
      <c r="E43" s="147"/>
      <c r="F43" s="147"/>
      <c r="G43" s="147"/>
      <c r="H43" s="147"/>
      <c r="I43" s="52"/>
      <c r="J43" s="2"/>
      <c r="K43" s="2"/>
      <c r="L43" s="2"/>
      <c r="M43" s="180"/>
      <c r="N43" s="180"/>
    </row>
    <row r="44" spans="2:14" ht="13.5" customHeight="1">
      <c r="B44" s="52" t="s">
        <v>77</v>
      </c>
      <c r="C44" s="232" t="s">
        <v>147</v>
      </c>
      <c r="D44" s="232"/>
      <c r="E44" s="232"/>
      <c r="F44" s="258" t="s">
        <v>169</v>
      </c>
      <c r="G44" s="258"/>
      <c r="H44" s="52"/>
      <c r="I44" s="52"/>
      <c r="J44" s="2"/>
      <c r="K44" s="2"/>
      <c r="L44" s="2"/>
      <c r="M44" s="180"/>
      <c r="N44" s="180"/>
    </row>
    <row r="45" spans="2:14" ht="12" customHeight="1">
      <c r="B45" s="52"/>
      <c r="C45" s="53"/>
      <c r="D45" s="53"/>
      <c r="E45" s="219"/>
      <c r="F45" s="259"/>
      <c r="G45" s="259"/>
      <c r="H45" s="52"/>
      <c r="I45" s="52"/>
      <c r="J45" s="2"/>
      <c r="K45" s="2"/>
      <c r="L45" s="2"/>
      <c r="M45" s="180"/>
      <c r="N45" s="180"/>
    </row>
    <row r="46" spans="2:14" ht="12" customHeight="1">
      <c r="B46" s="52" t="s">
        <v>78</v>
      </c>
      <c r="C46" s="232" t="s">
        <v>147</v>
      </c>
      <c r="D46" s="232"/>
      <c r="E46" s="232"/>
      <c r="F46" s="258" t="s">
        <v>93</v>
      </c>
      <c r="G46" s="258"/>
      <c r="H46" s="52"/>
      <c r="I46" s="52"/>
    </row>
    <row r="47" spans="2:14" ht="9.75" customHeight="1">
      <c r="B47" s="52"/>
      <c r="C47" s="53"/>
      <c r="D47" s="53"/>
      <c r="E47" s="219"/>
      <c r="F47" s="258"/>
      <c r="G47" s="258"/>
      <c r="H47" s="52"/>
      <c r="I47" s="52"/>
    </row>
    <row r="48" spans="2:14" ht="15" customHeight="1">
      <c r="B48" s="52" t="s">
        <v>79</v>
      </c>
      <c r="C48" s="232" t="s">
        <v>148</v>
      </c>
      <c r="D48" s="232"/>
      <c r="E48" s="232"/>
      <c r="F48" s="258" t="s">
        <v>170</v>
      </c>
      <c r="G48" s="258"/>
      <c r="H48" s="52"/>
      <c r="I48" s="6"/>
    </row>
    <row r="49" spans="2:9" ht="9.75" customHeight="1">
      <c r="B49" s="54"/>
      <c r="C49" s="55"/>
      <c r="D49" s="55"/>
      <c r="E49" s="219"/>
      <c r="F49" s="183"/>
      <c r="G49" s="54"/>
      <c r="H49" s="56"/>
      <c r="I49" s="52"/>
    </row>
    <row r="50" spans="2:9" ht="15" customHeight="1">
      <c r="B50" s="52" t="s">
        <v>80</v>
      </c>
      <c r="C50" s="232" t="s">
        <v>148</v>
      </c>
      <c r="D50" s="232"/>
      <c r="E50" s="232"/>
      <c r="F50" s="258" t="s">
        <v>170</v>
      </c>
      <c r="G50" s="258"/>
      <c r="H50" s="52"/>
      <c r="I50" s="3"/>
    </row>
    <row r="51" spans="2:9">
      <c r="E51" s="211"/>
    </row>
  </sheetData>
  <mergeCells count="60">
    <mergeCell ref="B1:H1"/>
    <mergeCell ref="B5:H6"/>
    <mergeCell ref="G40:H40"/>
    <mergeCell ref="G41:H41"/>
    <mergeCell ref="G42:H42"/>
    <mergeCell ref="C24:C25"/>
    <mergeCell ref="D24:D25"/>
    <mergeCell ref="H24:H25"/>
    <mergeCell ref="B37:H37"/>
    <mergeCell ref="E24:E25"/>
    <mergeCell ref="F24:G24"/>
    <mergeCell ref="B2:H2"/>
    <mergeCell ref="B3:H3"/>
    <mergeCell ref="B4:H4"/>
    <mergeCell ref="E18:F18"/>
    <mergeCell ref="E40:F40"/>
    <mergeCell ref="F50:G50"/>
    <mergeCell ref="F47:G47"/>
    <mergeCell ref="E42:F42"/>
    <mergeCell ref="C44:E44"/>
    <mergeCell ref="C46:E46"/>
    <mergeCell ref="C48:E48"/>
    <mergeCell ref="F48:G48"/>
    <mergeCell ref="C50:E50"/>
    <mergeCell ref="F45:G45"/>
    <mergeCell ref="F46:G46"/>
    <mergeCell ref="F44:G44"/>
    <mergeCell ref="N5:R5"/>
    <mergeCell ref="E39:F39"/>
    <mergeCell ref="E41:F41"/>
    <mergeCell ref="G38:H38"/>
    <mergeCell ref="G39:H39"/>
    <mergeCell ref="P8:R8"/>
    <mergeCell ref="P15:Q15"/>
    <mergeCell ref="D8:E8"/>
    <mergeCell ref="B23:H23"/>
    <mergeCell ref="B24:B25"/>
    <mergeCell ref="E38:F38"/>
    <mergeCell ref="B16:H16"/>
    <mergeCell ref="C17:D17"/>
    <mergeCell ref="E17:F17"/>
    <mergeCell ref="G17:H17"/>
    <mergeCell ref="C18:D18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M23:M24"/>
    <mergeCell ref="N23:N24"/>
    <mergeCell ref="C38:D38"/>
    <mergeCell ref="C39:D39"/>
    <mergeCell ref="C40:D40"/>
    <mergeCell ref="C41:D41"/>
    <mergeCell ref="C42:D42"/>
  </mergeCells>
  <printOptions horizontalCentered="1"/>
  <pageMargins left="0.22" right="0.2" top="0.15748031496062992" bottom="0.23622047244094491" header="0.16" footer="0.2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60</vt:lpstr>
      <vt:lpstr>62</vt:lpstr>
      <vt:lpstr>62а</vt:lpstr>
      <vt:lpstr>68</vt:lpstr>
      <vt:lpstr>68а</vt:lpstr>
      <vt:lpstr>70</vt:lpstr>
      <vt:lpstr>70а</vt:lpstr>
      <vt:lpstr>72</vt:lpstr>
      <vt:lpstr>72а</vt:lpstr>
      <vt:lpstr>80</vt:lpstr>
      <vt:lpstr>82</vt:lpstr>
      <vt:lpstr>84в</vt:lpstr>
      <vt:lpstr>86а</vt:lpstr>
      <vt:lpstr>88</vt:lpstr>
      <vt:lpstr>92</vt:lpstr>
      <vt:lpstr>92а</vt:lpstr>
      <vt:lpstr>94</vt:lpstr>
      <vt:lpstr>96</vt:lpstr>
      <vt:lpstr>96а</vt:lpstr>
      <vt:lpstr>98</vt:lpstr>
      <vt:lpstr>100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2026-02-19T05:55:50Z</dcterms:modified>
</cp:coreProperties>
</file>