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3" activeTab="16"/>
  </bookViews>
  <sheets>
    <sheet name="вой.64" sheetId="1" r:id="rId1"/>
    <sheet name="вой.66" sheetId="2" r:id="rId2"/>
    <sheet name="коп.3" sheetId="3" r:id="rId3"/>
    <sheet name="коп.5" sheetId="4" r:id="rId4"/>
    <sheet name="коп.7" sheetId="5" r:id="rId5"/>
    <sheet name="коп.8" sheetId="6" r:id="rId6"/>
    <sheet name="коп.10" sheetId="7" r:id="rId7"/>
    <sheet name="коп.15" sheetId="8" r:id="rId8"/>
    <sheet name="коп.17" sheetId="9" r:id="rId9"/>
    <sheet name="маг.4" sheetId="19" r:id="rId10"/>
    <sheet name="маг.6" sheetId="20" r:id="rId11"/>
    <sheet name="мар.рас.16" sheetId="21" r:id="rId12"/>
    <sheet name="перс.1" sheetId="23" r:id="rId13"/>
    <sheet name="перс.3" sheetId="24" r:id="rId14"/>
    <sheet name="фест.4" sheetId="25" r:id="rId15"/>
    <sheet name="фест.8" sheetId="26" r:id="rId16"/>
    <sheet name="фест.10" sheetId="27" r:id="rId17"/>
  </sheets>
  <calcPr calcId="124519"/>
</workbook>
</file>

<file path=xl/calcChain.xml><?xml version="1.0" encoding="utf-8"?>
<calcChain xmlns="http://schemas.openxmlformats.org/spreadsheetml/2006/main">
  <c r="G37" i="27"/>
  <c r="E37"/>
  <c r="G38" i="26"/>
  <c r="E38"/>
  <c r="G38" i="25"/>
  <c r="E38"/>
  <c r="G37" i="21"/>
  <c r="E37"/>
  <c r="G39" i="20"/>
  <c r="E39"/>
  <c r="E34"/>
  <c r="E41"/>
  <c r="G40" i="19"/>
  <c r="E40"/>
  <c r="E42"/>
  <c r="G39" i="9"/>
  <c r="E39"/>
  <c r="G39" i="8"/>
  <c r="E39"/>
  <c r="G38" i="7"/>
  <c r="E38"/>
  <c r="G38" i="6"/>
  <c r="E38"/>
  <c r="G39" i="5"/>
  <c r="E39"/>
  <c r="G39" i="4"/>
  <c r="E39"/>
  <c r="G39" i="3"/>
  <c r="E39"/>
  <c r="G38" i="2"/>
  <c r="E38"/>
  <c r="G38" i="1"/>
  <c r="E38"/>
  <c r="G40" i="24"/>
  <c r="E40"/>
  <c r="G40" i="23"/>
  <c r="E40"/>
  <c r="E33" i="25"/>
  <c r="E34" i="8"/>
  <c r="E34" i="4"/>
  <c r="E41" i="9" l="1"/>
  <c r="E41" i="8"/>
  <c r="E41" i="5"/>
  <c r="E41" i="4"/>
  <c r="E41" i="3" l="1"/>
  <c r="N25" i="24" l="1"/>
  <c r="N25" i="23"/>
  <c r="G39" i="1"/>
  <c r="E33"/>
  <c r="E34" i="5" l="1"/>
  <c r="G41" i="23" l="1"/>
  <c r="G41" i="24"/>
  <c r="G40" i="3" l="1"/>
  <c r="N22" i="27"/>
  <c r="N23" i="26"/>
  <c r="N23" i="25"/>
  <c r="N22" i="21"/>
  <c r="N24" i="20"/>
  <c r="N24" i="19"/>
  <c r="N24" i="9"/>
  <c r="N24" i="8"/>
  <c r="N23" i="7"/>
  <c r="N23" i="6"/>
  <c r="N24" i="5"/>
  <c r="N24" i="4"/>
  <c r="N24" i="3"/>
  <c r="N23" i="2"/>
  <c r="N23" i="1"/>
  <c r="G38" i="27" l="1"/>
  <c r="G40" i="20" l="1"/>
  <c r="G38"/>
  <c r="G41" i="19"/>
  <c r="G39"/>
  <c r="G38" i="4" l="1"/>
  <c r="G41" i="20"/>
  <c r="G42" i="19"/>
  <c r="G39" i="27" l="1"/>
  <c r="G36"/>
  <c r="G18"/>
  <c r="E18"/>
  <c r="G39" i="26"/>
  <c r="G40" s="1"/>
  <c r="G37"/>
  <c r="G19"/>
  <c r="E19"/>
  <c r="G39" i="25"/>
  <c r="G40" s="1"/>
  <c r="G37"/>
  <c r="G19"/>
  <c r="E19"/>
  <c r="G38" i="21"/>
  <c r="G39" s="1"/>
  <c r="G36"/>
  <c r="G18"/>
  <c r="E18"/>
  <c r="G20" i="20"/>
  <c r="E20"/>
  <c r="C42" i="19"/>
  <c r="C40"/>
  <c r="G20"/>
  <c r="E20"/>
  <c r="C18" i="27" l="1"/>
  <c r="C37"/>
  <c r="C19" i="26"/>
  <c r="C38"/>
  <c r="C19" i="25"/>
  <c r="C38"/>
  <c r="C18" i="21"/>
  <c r="C37"/>
  <c r="G42" i="20"/>
  <c r="C39"/>
  <c r="C41"/>
  <c r="G43" i="19"/>
  <c r="C20"/>
  <c r="C20" i="20"/>
  <c r="G42" i="24" l="1"/>
  <c r="G39"/>
  <c r="G21"/>
  <c r="E21"/>
  <c r="G39" i="23"/>
  <c r="C40" i="24" l="1"/>
  <c r="C21"/>
  <c r="C40" i="23"/>
  <c r="G42"/>
  <c r="G21" l="1"/>
  <c r="E21"/>
  <c r="G41" i="9"/>
  <c r="G40"/>
  <c r="G38"/>
  <c r="G20"/>
  <c r="E20"/>
  <c r="G41" i="8"/>
  <c r="G40"/>
  <c r="G38"/>
  <c r="G20"/>
  <c r="E20"/>
  <c r="G39" i="7"/>
  <c r="G37"/>
  <c r="G19"/>
  <c r="E19"/>
  <c r="G39" i="6"/>
  <c r="G37"/>
  <c r="G19"/>
  <c r="E19"/>
  <c r="G41" i="5"/>
  <c r="G40"/>
  <c r="G38"/>
  <c r="G20"/>
  <c r="E20"/>
  <c r="G41" i="4"/>
  <c r="G40"/>
  <c r="G20"/>
  <c r="E20"/>
  <c r="G41" i="3"/>
  <c r="G38"/>
  <c r="G20"/>
  <c r="E20"/>
  <c r="G39" i="2"/>
  <c r="G37"/>
  <c r="G19"/>
  <c r="E19"/>
  <c r="G37" i="1"/>
  <c r="G19"/>
  <c r="E19"/>
  <c r="C20" i="9" l="1"/>
  <c r="C41" i="8"/>
  <c r="C38" i="7"/>
  <c r="C19"/>
  <c r="C19" i="6"/>
  <c r="C38"/>
  <c r="C39" i="5"/>
  <c r="C20"/>
  <c r="C41" i="4"/>
  <c r="G42"/>
  <c r="C39"/>
  <c r="C41" i="3"/>
  <c r="C20"/>
  <c r="C39"/>
  <c r="C21" i="23"/>
  <c r="C41" i="5"/>
  <c r="C20" i="8"/>
  <c r="C38" i="2"/>
  <c r="G42" i="3"/>
  <c r="C20" i="4"/>
  <c r="C41" i="9"/>
  <c r="G42"/>
  <c r="G42" i="8"/>
  <c r="G42" i="5"/>
  <c r="C19" i="2"/>
  <c r="C38" i="1"/>
  <c r="C39" i="9"/>
  <c r="C39" i="8"/>
  <c r="G40" i="7"/>
  <c r="G40" i="6"/>
  <c r="G40" i="2"/>
  <c r="G40" i="1"/>
  <c r="C19"/>
  <c r="H30" i="27" l="1"/>
  <c r="H31" i="26"/>
  <c r="H31" i="25"/>
  <c r="H33" i="24"/>
  <c r="H33" i="23"/>
  <c r="H30" i="21" l="1"/>
  <c r="H32" i="20"/>
  <c r="H32" i="19" l="1"/>
  <c r="H32" i="9"/>
  <c r="H32" i="8"/>
  <c r="H31" i="7" l="1"/>
  <c r="H31" i="6"/>
  <c r="H32" i="5"/>
  <c r="H32" i="4"/>
  <c r="H32" i="3"/>
  <c r="H31" i="2"/>
  <c r="H31" i="1" l="1"/>
  <c r="E32" i="27" l="1"/>
  <c r="E33" i="26"/>
  <c r="E32" i="21"/>
  <c r="N24" i="25" l="1"/>
  <c r="M24"/>
  <c r="F27" s="1"/>
  <c r="M25" i="20"/>
  <c r="N25"/>
  <c r="N24" i="26"/>
  <c r="G27" s="1"/>
  <c r="M24"/>
  <c r="F27" s="1"/>
  <c r="N23" i="21"/>
  <c r="G26" s="1"/>
  <c r="M23"/>
  <c r="F26" s="1"/>
  <c r="M23" i="27"/>
  <c r="F26" s="1"/>
  <c r="N23"/>
  <c r="G26" s="1"/>
  <c r="E34" i="9"/>
  <c r="E33" i="7"/>
  <c r="E33" i="6"/>
  <c r="M25" i="5"/>
  <c r="F33" s="1"/>
  <c r="E34" i="3"/>
  <c r="E33" i="2"/>
  <c r="G27" i="25" l="1"/>
  <c r="H27" s="1"/>
  <c r="G32"/>
  <c r="M25" i="4"/>
  <c r="N25"/>
  <c r="N25" i="8"/>
  <c r="G28" s="1"/>
  <c r="M25"/>
  <c r="F28" s="1"/>
  <c r="M24" i="1"/>
  <c r="F24" s="1"/>
  <c r="N24"/>
  <c r="M25" i="9"/>
  <c r="F28" s="1"/>
  <c r="N25"/>
  <c r="G28" s="1"/>
  <c r="N25" i="5"/>
  <c r="N24" i="2"/>
  <c r="G27" s="1"/>
  <c r="M24"/>
  <c r="F27" s="1"/>
  <c r="M24" i="6"/>
  <c r="F27" s="1"/>
  <c r="N24"/>
  <c r="G27" s="1"/>
  <c r="N25" i="3"/>
  <c r="M25"/>
  <c r="N24" i="7"/>
  <c r="G27" s="1"/>
  <c r="M24"/>
  <c r="F27" s="1"/>
  <c r="G31" i="27"/>
  <c r="G28"/>
  <c r="G24"/>
  <c r="G27"/>
  <c r="G23"/>
  <c r="G29"/>
  <c r="G25"/>
  <c r="G29" i="25"/>
  <c r="G25"/>
  <c r="G30"/>
  <c r="G28"/>
  <c r="G26"/>
  <c r="G24"/>
  <c r="F29" i="27"/>
  <c r="F27"/>
  <c r="F25"/>
  <c r="F23"/>
  <c r="F31"/>
  <c r="F28"/>
  <c r="H26"/>
  <c r="F24"/>
  <c r="F30" i="25"/>
  <c r="F28"/>
  <c r="F26"/>
  <c r="F24"/>
  <c r="F32"/>
  <c r="H32" s="1"/>
  <c r="F29"/>
  <c r="F25"/>
  <c r="F29" i="21"/>
  <c r="F27"/>
  <c r="F25"/>
  <c r="F23"/>
  <c r="F31"/>
  <c r="F28"/>
  <c r="F24"/>
  <c r="F30" i="26"/>
  <c r="F28"/>
  <c r="F26"/>
  <c r="F24"/>
  <c r="F32"/>
  <c r="F29"/>
  <c r="F25"/>
  <c r="G31" i="21"/>
  <c r="G28"/>
  <c r="G24"/>
  <c r="G29"/>
  <c r="H29" s="1"/>
  <c r="G27"/>
  <c r="G25"/>
  <c r="G23"/>
  <c r="G32" i="26"/>
  <c r="G29"/>
  <c r="G25"/>
  <c r="G30"/>
  <c r="G28"/>
  <c r="G26"/>
  <c r="G24"/>
  <c r="F33" i="20"/>
  <c r="F31"/>
  <c r="F30"/>
  <c r="F29"/>
  <c r="G33"/>
  <c r="G31"/>
  <c r="G30"/>
  <c r="G29"/>
  <c r="G28"/>
  <c r="G27"/>
  <c r="G26"/>
  <c r="G25"/>
  <c r="F28"/>
  <c r="F27"/>
  <c r="F26"/>
  <c r="F25"/>
  <c r="H25" i="27" l="1"/>
  <c r="F33" i="8"/>
  <c r="H30" i="25"/>
  <c r="H31" i="27"/>
  <c r="H25" i="25"/>
  <c r="E40" i="20"/>
  <c r="H28" i="27"/>
  <c r="H30" i="20"/>
  <c r="H24" i="27"/>
  <c r="H29" i="26"/>
  <c r="H26"/>
  <c r="H28"/>
  <c r="H27" i="27"/>
  <c r="H28" i="25"/>
  <c r="H27" i="21"/>
  <c r="H31"/>
  <c r="H27" i="20"/>
  <c r="H24" i="25"/>
  <c r="H29"/>
  <c r="H29" i="27"/>
  <c r="H26" i="20"/>
  <c r="E38"/>
  <c r="C38" s="1"/>
  <c r="H33"/>
  <c r="H29"/>
  <c r="H30" i="26"/>
  <c r="H25"/>
  <c r="H24"/>
  <c r="F33" i="25"/>
  <c r="E39"/>
  <c r="E39" i="26"/>
  <c r="E36" i="21"/>
  <c r="C36" s="1"/>
  <c r="E38" i="27"/>
  <c r="H23"/>
  <c r="E36"/>
  <c r="C36" s="1"/>
  <c r="F32"/>
  <c r="E37" i="26"/>
  <c r="C37" s="1"/>
  <c r="E37" i="25"/>
  <c r="C37" s="1"/>
  <c r="G32" i="21"/>
  <c r="E38"/>
  <c r="H28"/>
  <c r="H25"/>
  <c r="H31" i="20"/>
  <c r="G32" i="27"/>
  <c r="F33" i="26"/>
  <c r="H32"/>
  <c r="H23" i="21"/>
  <c r="H25" i="20"/>
  <c r="G29" i="5"/>
  <c r="G33"/>
  <c r="G30"/>
  <c r="G28"/>
  <c r="G26"/>
  <c r="G31"/>
  <c r="G27"/>
  <c r="G25"/>
  <c r="F33" i="3"/>
  <c r="F30"/>
  <c r="F28"/>
  <c r="F31"/>
  <c r="F27"/>
  <c r="F29"/>
  <c r="G30" i="1"/>
  <c r="G24"/>
  <c r="G32"/>
  <c r="G29"/>
  <c r="G27"/>
  <c r="G25"/>
  <c r="G28"/>
  <c r="G26"/>
  <c r="F30" i="5"/>
  <c r="F28"/>
  <c r="F26"/>
  <c r="F31"/>
  <c r="F27"/>
  <c r="F29"/>
  <c r="F25"/>
  <c r="G30" i="2"/>
  <c r="G26"/>
  <c r="G32"/>
  <c r="G29"/>
  <c r="G25"/>
  <c r="G28"/>
  <c r="G24"/>
  <c r="G28" i="6"/>
  <c r="G24"/>
  <c r="G32"/>
  <c r="G29"/>
  <c r="G25"/>
  <c r="G30"/>
  <c r="G26"/>
  <c r="G29" i="9"/>
  <c r="G33"/>
  <c r="G30"/>
  <c r="G26"/>
  <c r="G31"/>
  <c r="G27"/>
  <c r="G25"/>
  <c r="G34" i="20"/>
  <c r="F34"/>
  <c r="H27" i="26"/>
  <c r="G31" i="4"/>
  <c r="G27"/>
  <c r="G33"/>
  <c r="G30"/>
  <c r="G28"/>
  <c r="G26"/>
  <c r="G29"/>
  <c r="G25"/>
  <c r="G31" i="8"/>
  <c r="G27"/>
  <c r="G33"/>
  <c r="G30"/>
  <c r="G26"/>
  <c r="G29"/>
  <c r="G25"/>
  <c r="F33" i="4"/>
  <c r="F30"/>
  <c r="F28"/>
  <c r="F26"/>
  <c r="F31"/>
  <c r="F27"/>
  <c r="F29"/>
  <c r="F25"/>
  <c r="F30" i="8"/>
  <c r="F26"/>
  <c r="F31"/>
  <c r="F27"/>
  <c r="F29"/>
  <c r="F25"/>
  <c r="G31" i="3"/>
  <c r="G33"/>
  <c r="G30"/>
  <c r="G28"/>
  <c r="G29"/>
  <c r="G27"/>
  <c r="H27" s="1"/>
  <c r="F32" i="1"/>
  <c r="F29"/>
  <c r="F27"/>
  <c r="F25"/>
  <c r="F28"/>
  <c r="F30"/>
  <c r="F26"/>
  <c r="G28" i="7"/>
  <c r="G24"/>
  <c r="G32"/>
  <c r="G29"/>
  <c r="G25"/>
  <c r="G30"/>
  <c r="G26"/>
  <c r="F32" i="2"/>
  <c r="F29"/>
  <c r="H27"/>
  <c r="F25"/>
  <c r="F28"/>
  <c r="F24"/>
  <c r="F30"/>
  <c r="F26"/>
  <c r="F32" i="6"/>
  <c r="F29"/>
  <c r="F25"/>
  <c r="F30"/>
  <c r="F26"/>
  <c r="F28"/>
  <c r="F24"/>
  <c r="F32" i="7"/>
  <c r="F29"/>
  <c r="F25"/>
  <c r="F30"/>
  <c r="F26"/>
  <c r="F28"/>
  <c r="F24"/>
  <c r="F33" i="9"/>
  <c r="F30"/>
  <c r="F26"/>
  <c r="F31"/>
  <c r="F27"/>
  <c r="F29"/>
  <c r="H29" s="1"/>
  <c r="F25"/>
  <c r="G33" i="25"/>
  <c r="H26" i="21"/>
  <c r="F32"/>
  <c r="G33" i="26"/>
  <c r="H24" i="21"/>
  <c r="H26" i="25"/>
  <c r="H28" i="20"/>
  <c r="G26" i="3"/>
  <c r="G25"/>
  <c r="F26"/>
  <c r="F25"/>
  <c r="H29" i="2" l="1"/>
  <c r="H29" i="3"/>
  <c r="H33" i="8"/>
  <c r="H29"/>
  <c r="H32" i="6"/>
  <c r="H26"/>
  <c r="H27" i="4"/>
  <c r="H28" i="3"/>
  <c r="H28" i="2"/>
  <c r="H32" i="27"/>
  <c r="H33" i="25"/>
  <c r="H25" i="5"/>
  <c r="H31" i="4"/>
  <c r="H30" i="2"/>
  <c r="H32" i="1"/>
  <c r="H29"/>
  <c r="H29" i="4"/>
  <c r="H34" i="20"/>
  <c r="H29" i="6"/>
  <c r="H29" i="5"/>
  <c r="E38" i="3"/>
  <c r="C38" s="1"/>
  <c r="H28" i="5"/>
  <c r="H28" i="9"/>
  <c r="E40" i="3"/>
  <c r="C40" s="1"/>
  <c r="H26" i="1"/>
  <c r="H26" i="3"/>
  <c r="E37" i="6"/>
  <c r="C37" s="1"/>
  <c r="E37" i="2"/>
  <c r="C37" s="1"/>
  <c r="E38" i="4"/>
  <c r="C38" s="1"/>
  <c r="H26"/>
  <c r="E38" i="5"/>
  <c r="E40" i="9"/>
  <c r="C40" s="1"/>
  <c r="E38"/>
  <c r="C38" s="1"/>
  <c r="G34"/>
  <c r="E40" i="8"/>
  <c r="E42" s="1"/>
  <c r="C42" s="1"/>
  <c r="E38"/>
  <c r="C38" s="1"/>
  <c r="H27"/>
  <c r="H31"/>
  <c r="H30"/>
  <c r="E39" i="7"/>
  <c r="E40" s="1"/>
  <c r="C40" s="1"/>
  <c r="E37"/>
  <c r="C37" s="1"/>
  <c r="H27"/>
  <c r="H30"/>
  <c r="E39" i="6"/>
  <c r="C39" s="1"/>
  <c r="H28"/>
  <c r="H27"/>
  <c r="E40" i="5"/>
  <c r="C40" s="1"/>
  <c r="H31"/>
  <c r="H33"/>
  <c r="H27"/>
  <c r="G34"/>
  <c r="E40" i="4"/>
  <c r="E42" s="1"/>
  <c r="C42" s="1"/>
  <c r="H33"/>
  <c r="H28"/>
  <c r="H31" i="3"/>
  <c r="E39" i="2"/>
  <c r="C39" s="1"/>
  <c r="H30" i="1"/>
  <c r="H27"/>
  <c r="E39"/>
  <c r="C39" s="1"/>
  <c r="E37"/>
  <c r="C37" s="1"/>
  <c r="H24"/>
  <c r="C38" i="21"/>
  <c r="E39"/>
  <c r="C39" s="1"/>
  <c r="F34" i="9"/>
  <c r="H25" i="7"/>
  <c r="H24" i="6"/>
  <c r="H25"/>
  <c r="H26" i="2"/>
  <c r="H25"/>
  <c r="H28" i="8"/>
  <c r="E39" i="27"/>
  <c r="C39" s="1"/>
  <c r="C38"/>
  <c r="E40" i="25"/>
  <c r="C40" s="1"/>
  <c r="C39"/>
  <c r="H31" i="9"/>
  <c r="H25" i="8"/>
  <c r="H26"/>
  <c r="H33" i="26"/>
  <c r="G33" i="2"/>
  <c r="H26" i="5"/>
  <c r="E40" i="26"/>
  <c r="C40" s="1"/>
  <c r="C39"/>
  <c r="H24" i="7"/>
  <c r="H25" i="1"/>
  <c r="C40" i="20"/>
  <c r="E42"/>
  <c r="C42" s="1"/>
  <c r="H27" i="9"/>
  <c r="H30"/>
  <c r="H32" i="7"/>
  <c r="H28"/>
  <c r="G33"/>
  <c r="H29"/>
  <c r="H30" i="6"/>
  <c r="H30" i="5"/>
  <c r="H30" i="4"/>
  <c r="H33" i="3"/>
  <c r="G34"/>
  <c r="H30"/>
  <c r="H32" i="21"/>
  <c r="G34" i="8"/>
  <c r="G33" i="1"/>
  <c r="G33" i="6"/>
  <c r="G34" i="4"/>
  <c r="H28" i="1"/>
  <c r="H25" i="9"/>
  <c r="H26"/>
  <c r="H33"/>
  <c r="F34" i="8"/>
  <c r="F33" i="7"/>
  <c r="H26"/>
  <c r="C38" i="5"/>
  <c r="F34"/>
  <c r="C39" i="7"/>
  <c r="F33" i="6"/>
  <c r="F34" i="4"/>
  <c r="H25"/>
  <c r="H24" i="2"/>
  <c r="F33"/>
  <c r="H32"/>
  <c r="F33" i="1"/>
  <c r="F34" i="3"/>
  <c r="H25"/>
  <c r="H34" l="1"/>
  <c r="E42" i="9"/>
  <c r="C42" s="1"/>
  <c r="C40" i="8"/>
  <c r="H34"/>
  <c r="H33" i="6"/>
  <c r="H34" i="5"/>
  <c r="C40" i="4"/>
  <c r="E40" i="2"/>
  <c r="C40" s="1"/>
  <c r="E40" i="6"/>
  <c r="C40" s="1"/>
  <c r="H34" i="4"/>
  <c r="E42" i="5"/>
  <c r="C42" s="1"/>
  <c r="H33" i="1"/>
  <c r="H33" i="7"/>
  <c r="E40" i="1"/>
  <c r="C40" s="1"/>
  <c r="H34" i="9"/>
  <c r="E42" i="3"/>
  <c r="C42" s="1"/>
  <c r="H33" i="2"/>
  <c r="E35" i="24"/>
  <c r="E35" i="23"/>
  <c r="E35" i="19"/>
  <c r="M26" i="23" l="1"/>
  <c r="M26" i="24"/>
  <c r="N26" s="1"/>
  <c r="N25" i="19"/>
  <c r="G33" s="1"/>
  <c r="M25"/>
  <c r="F33" s="1"/>
  <c r="F29" i="23" l="1"/>
  <c r="N26"/>
  <c r="G29" s="1"/>
  <c r="F31"/>
  <c r="F26"/>
  <c r="F30"/>
  <c r="F27"/>
  <c r="F34"/>
  <c r="F28"/>
  <c r="F32"/>
  <c r="G34"/>
  <c r="G34" i="19"/>
  <c r="G31"/>
  <c r="G30"/>
  <c r="G29"/>
  <c r="G28"/>
  <c r="G27"/>
  <c r="G26"/>
  <c r="G25"/>
  <c r="F31"/>
  <c r="F30"/>
  <c r="F29"/>
  <c r="F28"/>
  <c r="F27"/>
  <c r="F26"/>
  <c r="F25"/>
  <c r="F34"/>
  <c r="F34" i="24"/>
  <c r="F32"/>
  <c r="F31"/>
  <c r="F30"/>
  <c r="F29"/>
  <c r="F28"/>
  <c r="F27"/>
  <c r="F26"/>
  <c r="G34"/>
  <c r="G32"/>
  <c r="G31"/>
  <c r="G30"/>
  <c r="G29"/>
  <c r="G28"/>
  <c r="G27"/>
  <c r="G26"/>
  <c r="G32" i="23" l="1"/>
  <c r="H32" s="1"/>
  <c r="G31"/>
  <c r="H31" s="1"/>
  <c r="G26"/>
  <c r="H26" s="1"/>
  <c r="G28"/>
  <c r="H28" s="1"/>
  <c r="G27"/>
  <c r="H27" s="1"/>
  <c r="G30"/>
  <c r="H30" s="1"/>
  <c r="E39"/>
  <c r="C39" s="1"/>
  <c r="H28" i="24"/>
  <c r="E41" i="19"/>
  <c r="E43" s="1"/>
  <c r="C43" s="1"/>
  <c r="E41" i="24"/>
  <c r="E42" s="1"/>
  <c r="C42" s="1"/>
  <c r="E39"/>
  <c r="C39" s="1"/>
  <c r="H30"/>
  <c r="H27"/>
  <c r="E39" i="19"/>
  <c r="C39" s="1"/>
  <c r="H29" i="24"/>
  <c r="H34"/>
  <c r="H29" i="23"/>
  <c r="G35" i="24"/>
  <c r="H26"/>
  <c r="F35"/>
  <c r="F35" i="19"/>
  <c r="F35" i="23"/>
  <c r="H34"/>
  <c r="H31" i="24"/>
  <c r="H32"/>
  <c r="G35" i="23" l="1"/>
  <c r="E41"/>
  <c r="E42" s="1"/>
  <c r="C42" s="1"/>
  <c r="C41" i="24"/>
  <c r="C41" i="19"/>
  <c r="H35" i="23"/>
  <c r="H35" i="24"/>
  <c r="H34" i="19"/>
  <c r="H26"/>
  <c r="H33"/>
  <c r="H29"/>
  <c r="H27"/>
  <c r="H30"/>
  <c r="H28"/>
  <c r="H25"/>
  <c r="H31"/>
  <c r="C41" i="23" l="1"/>
  <c r="G35" i="19"/>
  <c r="H35" l="1"/>
</calcChain>
</file>

<file path=xl/sharedStrings.xml><?xml version="1.0" encoding="utf-8"?>
<sst xmlns="http://schemas.openxmlformats.org/spreadsheetml/2006/main" count="1451" uniqueCount="138">
  <si>
    <t>• Адрес МКД</t>
  </si>
  <si>
    <t>• Год постройки</t>
  </si>
  <si>
    <t>• Этажность</t>
  </si>
  <si>
    <t>• Количество квартир</t>
  </si>
  <si>
    <t>• Общая площадь дома с учетом помещений
общего пользования</t>
  </si>
  <si>
    <t>• Общая площадь жилых помещений</t>
  </si>
  <si>
    <t>• Общая площадь нежилых помещений</t>
  </si>
  <si>
    <t>0 кв. м.</t>
  </si>
  <si>
    <t>• Площадь придомовой территории,
входящей в состав общего имущества МКД</t>
  </si>
  <si>
    <t>2154 кв. м. - грунт</t>
  </si>
  <si>
    <t>Содержание общего
имущества МКД (руб.)</t>
  </si>
  <si>
    <t>Текущий ремонт 
общего имущества 
МКД (руб.)</t>
  </si>
  <si>
    <t>1. Начислено</t>
  </si>
  <si>
    <t>2. Оплачено</t>
  </si>
  <si>
    <t>Войкова 64</t>
  </si>
  <si>
    <t>620,3 кв. м.</t>
  </si>
  <si>
    <t>Войкова 66</t>
  </si>
  <si>
    <t>Коперника 3</t>
  </si>
  <si>
    <t>945,6 кв. м.</t>
  </si>
  <si>
    <t>291,3 кв. м. - грунт;
551,3 кв. м. - асфальт</t>
  </si>
  <si>
    <t>Коперника 5</t>
  </si>
  <si>
    <t>913,6 кв. м.</t>
  </si>
  <si>
    <t>1247,1 кв. м. - грунт;
633,5 кв. м. - асфальт</t>
  </si>
  <si>
    <t>Коперника 7</t>
  </si>
  <si>
    <t>894,9 кв. м.</t>
  </si>
  <si>
    <t>1473,2 кв. м. - грунт;
623 кв. м. - асфальт</t>
  </si>
  <si>
    <t>Коперника 8</t>
  </si>
  <si>
    <t>1657,2 кв. м.</t>
  </si>
  <si>
    <t>1716 кв. м. - грунт;
576,09 кв. м. - асфальт</t>
  </si>
  <si>
    <t>Коперника 10</t>
  </si>
  <si>
    <t>1574,9 кв. м.</t>
  </si>
  <si>
    <t>2150,1 кв. м. - грунт;
524 кв. м. - асфальт</t>
  </si>
  <si>
    <t>Коперника 15</t>
  </si>
  <si>
    <t>591 кв. м.</t>
  </si>
  <si>
    <t>110 кв. м. - грунт;
112 кв. м. - асфальт</t>
  </si>
  <si>
    <t>Коперника 17</t>
  </si>
  <si>
    <t>570,9 кв. м.</t>
  </si>
  <si>
    <t>110 кв. м. - грунт;
176,2 кв. м. - асфальт</t>
  </si>
  <si>
    <t>Магистральная 4</t>
  </si>
  <si>
    <t>675,3 кв. м.</t>
  </si>
  <si>
    <t>110 кв. м. - грунт;
313,3 кв. м. - асфальт</t>
  </si>
  <si>
    <t>Магистральная 6</t>
  </si>
  <si>
    <t>617,1 кв. м.</t>
  </si>
  <si>
    <t>110 кв. м. - грунт;
296,3 кв. м. - асфальт</t>
  </si>
  <si>
    <t>Марины Расковой 16</t>
  </si>
  <si>
    <t>630,8 кв. м.</t>
  </si>
  <si>
    <t>110 кв. м. - грунт;
81,9 кв. м. - асфальт</t>
  </si>
  <si>
    <t>Перспективная 1</t>
  </si>
  <si>
    <t>1795,6 кв. м.</t>
  </si>
  <si>
    <t>1455,1 кв. м. - грунт;
696,5 кв. м. - асфальт</t>
  </si>
  <si>
    <t>Перспективная 3</t>
  </si>
  <si>
    <t>1787,5 кв. м.</t>
  </si>
  <si>
    <t>2555,7 кв. м. - грунт;
697,4 кв. м. - асфальт</t>
  </si>
  <si>
    <t>Фестивальная 4</t>
  </si>
  <si>
    <t>640,2 кв. м.</t>
  </si>
  <si>
    <t>110 кв. м. - грунт;
224,8 кв. м. - асфальт</t>
  </si>
  <si>
    <t>Фестивальная 8</t>
  </si>
  <si>
    <t>661,7 кв. м.</t>
  </si>
  <si>
    <t>110 кв. м. - грунт;
451,3 кв. м. - асфальт</t>
  </si>
  <si>
    <t>Фестивальная 10</t>
  </si>
  <si>
    <t>663,4 кв. м.</t>
  </si>
  <si>
    <t>110 кв. м. - грунт;
327 кв. м. - асфальт</t>
  </si>
  <si>
    <t>850 кв. м.</t>
  </si>
  <si>
    <t>3.Выполнено</t>
  </si>
  <si>
    <t>Директор ООО "Партнер-1"</t>
  </si>
  <si>
    <t>Главный бухгалтер ООО "Партнер-1"</t>
  </si>
  <si>
    <t>Экономист ООО "Партнер-1"</t>
  </si>
  <si>
    <t>Инженер по ремонту ООО "Партнер-1"</t>
  </si>
  <si>
    <t>Плановые затраты (руб.)</t>
  </si>
  <si>
    <t>Фактические затраты (руб.)</t>
  </si>
  <si>
    <t>Транспортные расходы при санитарной очистке территорий</t>
  </si>
  <si>
    <r>
      <rPr>
        <b/>
        <sz val="10"/>
        <color theme="1"/>
        <rFont val="Times New Roman"/>
        <family val="1"/>
        <charset val="204"/>
      </rPr>
      <t>Содержание аварийно-диспетчерской службы:</t>
    </r>
    <r>
      <rPr>
        <sz val="10"/>
        <color theme="1"/>
        <rFont val="Times New Roman"/>
        <family val="1"/>
        <charset val="204"/>
      </rPr>
      <t xml:space="preserve">
- оплата труда рабочих;
- затраты на инвентарь, спецодежду;
- транспортные расходы</t>
    </r>
  </si>
  <si>
    <r>
      <rPr>
        <b/>
        <sz val="10"/>
        <color theme="1"/>
        <rFont val="Times New Roman"/>
        <family val="1"/>
        <charset val="204"/>
      </rPr>
      <t>Услуги управляющей организации: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и т.д.</t>
    </r>
  </si>
  <si>
    <t>Рентабельность</t>
  </si>
  <si>
    <t>Итого</t>
  </si>
  <si>
    <r>
      <rPr>
        <b/>
        <sz val="10"/>
        <color theme="1"/>
        <rFont val="Times New Roman"/>
        <family val="1"/>
        <charset val="204"/>
      </rPr>
      <t>Санитарное содержание придомовой территории:</t>
    </r>
    <r>
      <rPr>
        <sz val="10"/>
        <color theme="1"/>
        <rFont val="Times New Roman"/>
        <family val="1"/>
        <charset val="204"/>
      </rPr>
      <t xml:space="preserve">
- оплата труда рабочих;
- затраты на материалы инвентарь;
- покос сорных трав</t>
    </r>
  </si>
  <si>
    <t>Т. В. Павлова</t>
  </si>
  <si>
    <t>Виды работ и затрат</t>
  </si>
  <si>
    <t>периодичность выполнения работ и услуг</t>
  </si>
  <si>
    <t>единица измерения работы/       услуги</t>
  </si>
  <si>
    <t>стоимость выполненной работы/оказанной услуги</t>
  </si>
  <si>
    <r>
      <rPr>
        <b/>
        <sz val="10"/>
        <color theme="1"/>
        <rFont val="Times New Roman"/>
        <family val="1"/>
        <charset val="204"/>
      </rPr>
      <t>Санитарное содержание лестничных клеток:</t>
    </r>
    <r>
      <rPr>
        <sz val="10"/>
        <color theme="1"/>
        <rFont val="Times New Roman"/>
        <family val="1"/>
        <charset val="204"/>
      </rPr>
      <t xml:space="preserve">
- оплата труда рабочих;
- затраты на материалы, инвентарь.</t>
    </r>
  </si>
  <si>
    <t>согласно договора  управления МКД</t>
  </si>
  <si>
    <t>руб.</t>
  </si>
  <si>
    <t>Техническое обслуживание внутридомового газового 
оборудования</t>
  </si>
  <si>
    <t xml:space="preserve">согласно договора  </t>
  </si>
  <si>
    <t>постоянно</t>
  </si>
  <si>
    <r>
      <rPr>
        <b/>
        <sz val="10"/>
        <color theme="1"/>
        <rFont val="Times New Roman"/>
        <family val="1"/>
        <charset val="204"/>
      </rPr>
      <t>Профилактические осмотры внутридомового инженерного
оборудования и конструктивных элементов МКД:</t>
    </r>
    <r>
      <rPr>
        <sz val="10"/>
        <color theme="1"/>
        <rFont val="Times New Roman"/>
        <family val="1"/>
        <charset val="204"/>
      </rPr>
      <t xml:space="preserve">
- затраты на весенние и осенние проверки готовности МКД к эксплуатации;
- затраты на внеочередные осмотры (после ливней, ураганных ветров, снегопадов и других явлений стихийного характера; в случае аварий на внешних коммуникациях и др.);
- ведение документов по учету технического состояния зданий</t>
    </r>
  </si>
  <si>
    <t xml:space="preserve">Текущий ремонт </t>
  </si>
  <si>
    <t>начислено всего</t>
  </si>
  <si>
    <t>Обслуживание ОПУ тепловой энергии</t>
  </si>
  <si>
    <t>Приложение № 1</t>
  </si>
  <si>
    <t>Приложение № 4</t>
  </si>
  <si>
    <t>к протоколу №____общего собрания собственников</t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</si>
  <si>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-амортизация;                                                                                     - транспортные расходы;                                                                   - затраты на канц. товары, телефонную связь, на орг. технику;                  - услуги банка, статистики;                                                                  - услуги информационно-вычислительного центра.</t>
    </r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</si>
  <si>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-амортизация;                                                                                     - транспортные расходы;                                                                   - затраты на канц. товары, телефонную связь, на орг. технику;                                                                                    - услуги банка, статистики;                                                                  - услуги информационно-вычислительного центра.</t>
    </r>
  </si>
  <si>
    <t>согласно договора  оказания услуг по содержанию и выполнению работ по ремонту общего имущества МКД</t>
  </si>
  <si>
    <t>круглосуточно</t>
  </si>
  <si>
    <t>Разница                       (+) экономия, (-) долг</t>
  </si>
  <si>
    <t>602,9 кв. м</t>
  </si>
  <si>
    <t>860,1 кв. м</t>
  </si>
  <si>
    <t>828,2 кв. м</t>
  </si>
  <si>
    <t>1541,3 кв. м</t>
  </si>
  <si>
    <t>1506,6 кв. м</t>
  </si>
  <si>
    <t>518,8 кв. м</t>
  </si>
  <si>
    <t>508,3 кв. м</t>
  </si>
  <si>
    <t>624,2 кв. м</t>
  </si>
  <si>
    <t>605,7 кв. м</t>
  </si>
  <si>
    <t>604,2 кв. м</t>
  </si>
  <si>
    <t>1622,6 кв. м</t>
  </si>
  <si>
    <t>1644,6 кв. м</t>
  </si>
  <si>
    <t>625,5 кв. м</t>
  </si>
  <si>
    <t>612,3 кв. м</t>
  </si>
  <si>
    <t>634,3 кв. м</t>
  </si>
  <si>
    <t>Возврат за размещения имущества ОАО "Ростелеком"</t>
  </si>
  <si>
    <r>
      <t>4.Остаток на начало отчетного периода</t>
    </r>
    <r>
      <rPr>
        <sz val="8"/>
        <color theme="1"/>
        <rFont val="Times New Roman"/>
        <family val="1"/>
        <charset val="204"/>
      </rPr>
      <t xml:space="preserve"> ("Оплачено" минус "Выполнено")
("-" - перевыполнено работ (долг); "+" - недовыполнено работ (экономия))</t>
    </r>
  </si>
  <si>
    <r>
      <t>4.Остаток на конец отчетного периода</t>
    </r>
    <r>
      <rPr>
        <sz val="8"/>
        <color theme="1"/>
        <rFont val="Times New Roman"/>
        <family val="1"/>
        <charset val="204"/>
      </rPr>
      <t xml:space="preserve"> ("Оплачено" минус "Выполнено")
("-" - перевыполнено работ (долг); "+" - недовыполнено работ (экономия))</t>
    </r>
  </si>
  <si>
    <t>начислено содержание жилья</t>
  </si>
  <si>
    <t>факт содержание жилья</t>
  </si>
  <si>
    <t>_________________________</t>
  </si>
  <si>
    <t>__________________________</t>
  </si>
  <si>
    <t>_______________________________</t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</si>
  <si>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 -амортизация;                                                                                       - транспортные расходы;                                                                     - затраты на канц. товары, телефонную связь, на орг. технику;                  - услуги банка, статистики;                                                                  - услуги информационно-вычислительного центра.</t>
    </r>
  </si>
  <si>
    <t>помещения МКД № 1 по ул. Перспективная, г. Новошахтинска</t>
  </si>
  <si>
    <t>помещения МКД № 3 по ул. Перспективная, г. Новошахтинска</t>
  </si>
  <si>
    <t>единица измерения работы/              услуги</t>
  </si>
  <si>
    <t>Р.А. Абдуллаев</t>
  </si>
  <si>
    <t>Н.Е. Потокина</t>
  </si>
  <si>
    <t>623,8 кв. м</t>
  </si>
  <si>
    <t>Переходящие остатки денежных средств на 01.01.2025 года</t>
  </si>
  <si>
    <t>период с 01.07.2013 года по 01.01.2025 года</t>
  </si>
  <si>
    <t>от _______________________2026 г.</t>
  </si>
  <si>
    <t>Ежегодный отчет Управляющей организации ООО "Партнер-1" о выполнении Договора о деятельности за отчетный период с 01.01.2025 г. по 31.12.2025 г.</t>
  </si>
  <si>
    <t>Отчет об оказанных услугах и выполненных работах по содержанию и текущему ремонту общего имущества в МКД за 2025 год</t>
  </si>
  <si>
    <t>ст-ть на 1 кв. м общей жилой  площади (руб. в мес.)  2025</t>
  </si>
  <si>
    <t>Переходящие остатки денежных средств на 01.01.2026 года</t>
  </si>
  <si>
    <t>период с 01.07.2013 года по 01.01.2026 года</t>
  </si>
  <si>
    <t>Ежегодный отчет  ООО "Партнер-1" о выполнении Договора о деятельности за отчетный период с 01.01.2025 г. по 31.12.2025 г.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</si>
</sst>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20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2" fontId="4" fillId="0" borderId="0" xfId="0" applyNumberFormat="1" applyFont="1" applyFill="1"/>
    <xf numFmtId="0" fontId="4" fillId="0" borderId="0" xfId="0" applyFont="1" applyFill="1"/>
    <xf numFmtId="0" fontId="2" fillId="0" borderId="0" xfId="0" applyFont="1" applyFill="1"/>
    <xf numFmtId="2" fontId="5" fillId="0" borderId="8" xfId="0" applyNumberFormat="1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left" vertical="center" wrapText="1"/>
    </xf>
    <xf numFmtId="2" fontId="5" fillId="0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/>
    <xf numFmtId="2" fontId="5" fillId="0" borderId="0" xfId="0" applyNumberFormat="1" applyFont="1" applyFill="1" applyBorder="1"/>
    <xf numFmtId="2" fontId="2" fillId="0" borderId="0" xfId="0" applyNumberFormat="1" applyFont="1" applyFill="1"/>
    <xf numFmtId="0" fontId="5" fillId="0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2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 shrinkToFi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vertical="top" wrapText="1"/>
    </xf>
    <xf numFmtId="0" fontId="8" fillId="0" borderId="35" xfId="0" applyFont="1" applyFill="1" applyBorder="1" applyAlignment="1">
      <alignment horizontal="center" vertical="center" wrapText="1"/>
    </xf>
    <xf numFmtId="2" fontId="5" fillId="0" borderId="36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37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/>
    <xf numFmtId="0" fontId="5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horizontal="left" wrapText="1"/>
    </xf>
    <xf numFmtId="0" fontId="8" fillId="0" borderId="3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vertical="top" wrapText="1"/>
    </xf>
    <xf numFmtId="0" fontId="8" fillId="0" borderId="4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center" vertical="center" wrapText="1"/>
    </xf>
    <xf numFmtId="2" fontId="5" fillId="0" borderId="41" xfId="0" applyNumberFormat="1" applyFont="1" applyFill="1" applyBorder="1" applyAlignment="1">
      <alignment horizontal="center" vertical="center"/>
    </xf>
    <xf numFmtId="2" fontId="3" fillId="0" borderId="4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2" xfId="0" applyFont="1" applyFill="1" applyBorder="1"/>
    <xf numFmtId="2" fontId="3" fillId="0" borderId="18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5" xfId="0" applyFont="1" applyFill="1" applyBorder="1"/>
    <xf numFmtId="2" fontId="5" fillId="0" borderId="0" xfId="0" applyNumberFormat="1" applyFont="1" applyFill="1" applyBorder="1" applyAlignment="1">
      <alignment horizontal="center"/>
    </xf>
    <xf numFmtId="0" fontId="5" fillId="0" borderId="20" xfId="0" applyFont="1" applyFill="1" applyBorder="1"/>
    <xf numFmtId="0" fontId="2" fillId="0" borderId="0" xfId="0" applyFont="1" applyFill="1" applyBorder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164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9" xfId="0" applyFont="1" applyFill="1" applyBorder="1" applyAlignment="1">
      <alignment vertical="top" wrapText="1"/>
    </xf>
    <xf numFmtId="0" fontId="8" fillId="0" borderId="10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0" fontId="5" fillId="0" borderId="34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0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2" fontId="3" fillId="0" borderId="4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5" fillId="0" borderId="38" xfId="0" applyFont="1" applyFill="1" applyBorder="1" applyAlignment="1">
      <alignment vertical="center" wrapText="1"/>
    </xf>
    <xf numFmtId="0" fontId="0" fillId="0" borderId="0" xfId="0" applyFill="1" applyAlignment="1"/>
    <xf numFmtId="2" fontId="5" fillId="0" borderId="38" xfId="0" applyNumberFormat="1" applyFont="1" applyFill="1" applyBorder="1" applyAlignment="1"/>
    <xf numFmtId="0" fontId="3" fillId="0" borderId="0" xfId="0" applyFont="1" applyFill="1" applyAlignment="1"/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/>
    <xf numFmtId="2" fontId="5" fillId="0" borderId="34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164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4" xfId="0" applyFont="1" applyFill="1" applyBorder="1"/>
    <xf numFmtId="2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2" fontId="5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Border="1"/>
    <xf numFmtId="0" fontId="2" fillId="0" borderId="0" xfId="0" applyFont="1" applyFill="1" applyAlignment="1">
      <alignment horizontal="left" vertical="center" wrapText="1"/>
    </xf>
    <xf numFmtId="0" fontId="14" fillId="0" borderId="0" xfId="0" applyFont="1" applyFill="1"/>
    <xf numFmtId="0" fontId="14" fillId="0" borderId="7" xfId="0" applyFont="1" applyFill="1" applyBorder="1"/>
    <xf numFmtId="2" fontId="14" fillId="0" borderId="7" xfId="0" applyNumberFormat="1" applyFont="1" applyFill="1" applyBorder="1"/>
    <xf numFmtId="0" fontId="15" fillId="0" borderId="0" xfId="0" applyFont="1" applyFill="1"/>
    <xf numFmtId="0" fontId="14" fillId="0" borderId="0" xfId="0" applyFont="1" applyFill="1" applyAlignment="1">
      <alignment horizontal="center" vertical="center"/>
    </xf>
    <xf numFmtId="2" fontId="16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14" fillId="0" borderId="0" xfId="0" applyFont="1" applyFill="1" applyAlignment="1"/>
    <xf numFmtId="0" fontId="18" fillId="0" borderId="0" xfId="0" applyFont="1" applyFill="1" applyAlignment="1">
      <alignment horizontal="center" vertical="center"/>
    </xf>
    <xf numFmtId="2" fontId="14" fillId="0" borderId="0" xfId="0" applyNumberFormat="1" applyFont="1" applyFill="1"/>
    <xf numFmtId="0" fontId="7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2" fontId="5" fillId="0" borderId="18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15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2" fontId="3" fillId="0" borderId="19" xfId="0" applyNumberFormat="1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2" fontId="5" fillId="0" borderId="13" xfId="0" applyNumberFormat="1" applyFont="1" applyFill="1" applyBorder="1" applyAlignment="1">
      <alignment horizontal="center"/>
    </xf>
    <xf numFmtId="2" fontId="5" fillId="0" borderId="10" xfId="0" applyNumberFormat="1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3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2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 wrapText="1" shrinkToFit="1"/>
    </xf>
    <xf numFmtId="0" fontId="9" fillId="0" borderId="23" xfId="0" applyFont="1" applyFill="1" applyBorder="1" applyAlignment="1">
      <alignment horizontal="center" vertical="center" wrapText="1" shrinkToFit="1"/>
    </xf>
    <xf numFmtId="0" fontId="9" fillId="0" borderId="30" xfId="0" applyFont="1" applyFill="1" applyBorder="1" applyAlignment="1">
      <alignment horizontal="center" vertical="center" wrapText="1" shrinkToFit="1"/>
    </xf>
    <xf numFmtId="0" fontId="9" fillId="0" borderId="31" xfId="0" applyFont="1" applyFill="1" applyBorder="1" applyAlignment="1">
      <alignment horizontal="center" vertical="center" wrapText="1" shrinkToFi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2" fontId="5" fillId="0" borderId="17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4" fillId="0" borderId="25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 vertical="center" wrapText="1"/>
    </xf>
    <xf numFmtId="2" fontId="5" fillId="0" borderId="41" xfId="0" applyNumberFormat="1" applyFont="1" applyFill="1" applyBorder="1" applyAlignment="1">
      <alignment horizontal="center"/>
    </xf>
    <xf numFmtId="2" fontId="5" fillId="0" borderId="40" xfId="0" applyNumberFormat="1" applyFont="1" applyFill="1" applyBorder="1" applyAlignment="1">
      <alignment horizontal="center"/>
    </xf>
    <xf numFmtId="2" fontId="5" fillId="0" borderId="44" xfId="0" applyNumberFormat="1" applyFont="1" applyFill="1" applyBorder="1" applyAlignment="1">
      <alignment horizontal="center"/>
    </xf>
    <xf numFmtId="2" fontId="5" fillId="0" borderId="36" xfId="0" applyNumberFormat="1" applyFont="1" applyFill="1" applyBorder="1" applyAlignment="1">
      <alignment horizontal="center"/>
    </xf>
    <xf numFmtId="2" fontId="5" fillId="0" borderId="35" xfId="0" applyNumberFormat="1" applyFont="1" applyFill="1" applyBorder="1" applyAlignment="1">
      <alignment horizontal="center"/>
    </xf>
    <xf numFmtId="2" fontId="5" fillId="0" borderId="21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0" fillId="0" borderId="2" xfId="0" applyFill="1" applyBorder="1"/>
    <xf numFmtId="0" fontId="0" fillId="0" borderId="6" xfId="0" applyFill="1" applyBorder="1"/>
    <xf numFmtId="0" fontId="0" fillId="0" borderId="16" xfId="0" applyFill="1" applyBorder="1"/>
    <xf numFmtId="0" fontId="0" fillId="0" borderId="19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4" xfId="0" applyFill="1" applyBorder="1"/>
    <xf numFmtId="0" fontId="0" fillId="0" borderId="31" xfId="0" applyFill="1" applyBorder="1"/>
    <xf numFmtId="0" fontId="3" fillId="0" borderId="50" xfId="0" applyFont="1" applyFill="1" applyBorder="1" applyAlignment="1">
      <alignment horizontal="center"/>
    </xf>
    <xf numFmtId="0" fontId="3" fillId="0" borderId="50" xfId="0" applyFont="1" applyFill="1" applyBorder="1" applyAlignment="1">
      <alignment horizontal="left"/>
    </xf>
    <xf numFmtId="0" fontId="13" fillId="0" borderId="45" xfId="0" applyFont="1" applyFill="1" applyBorder="1"/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4" fillId="0" borderId="26" xfId="0" applyFont="1" applyFill="1" applyBorder="1" applyAlignment="1">
      <alignment horizontal="center"/>
    </xf>
    <xf numFmtId="0" fontId="9" fillId="0" borderId="47" xfId="0" applyFont="1" applyFill="1" applyBorder="1" applyAlignment="1">
      <alignment horizontal="center" vertical="center" wrapText="1" shrinkToFit="1"/>
    </xf>
    <xf numFmtId="0" fontId="9" fillId="0" borderId="49" xfId="0" applyFont="1" applyFill="1" applyBorder="1" applyAlignment="1">
      <alignment horizontal="center" vertical="center" wrapText="1" shrinkToFit="1"/>
    </xf>
    <xf numFmtId="2" fontId="9" fillId="0" borderId="29" xfId="0" applyNumberFormat="1" applyFont="1" applyFill="1" applyBorder="1" applyAlignment="1">
      <alignment horizontal="center" vertical="center" wrapText="1"/>
    </xf>
    <xf numFmtId="2" fontId="9" fillId="0" borderId="24" xfId="0" applyNumberFormat="1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 shrinkToFit="1"/>
    </xf>
    <xf numFmtId="0" fontId="9" fillId="0" borderId="48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4" fillId="0" borderId="26" xfId="0" applyFont="1" applyFill="1" applyBorder="1" applyAlignment="1">
      <alignment horizontal="center" wrapText="1" shrinkToFit="1"/>
    </xf>
    <xf numFmtId="0" fontId="9" fillId="0" borderId="4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2" fillId="0" borderId="26" xfId="0" applyFont="1" applyFill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49"/>
  <sheetViews>
    <sheetView topLeftCell="B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28515625" style="3" customWidth="1"/>
    <col min="3" max="3" width="23.5703125" style="132" customWidth="1"/>
    <col min="4" max="4" width="9.42578125" style="133" customWidth="1"/>
    <col min="5" max="5" width="10.28515625" style="133" customWidth="1"/>
    <col min="6" max="6" width="10.42578125" style="3" customWidth="1"/>
    <col min="7" max="7" width="10.28515625" style="3" customWidth="1"/>
    <col min="8" max="8" width="10.85546875" style="3" customWidth="1"/>
    <col min="9" max="9" width="10.7109375" style="3" bestFit="1" customWidth="1"/>
    <col min="10" max="12" width="9.140625" style="3"/>
    <col min="13" max="13" width="13" style="102" customWidth="1"/>
    <col min="14" max="14" width="12.85546875" style="102" customWidth="1"/>
    <col min="15" max="16384" width="9.140625" style="3"/>
  </cols>
  <sheetData>
    <row r="1" spans="1:9">
      <c r="B1" s="150" t="s">
        <v>91</v>
      </c>
      <c r="C1" s="150"/>
      <c r="D1" s="150"/>
      <c r="E1" s="150"/>
      <c r="F1" s="150"/>
      <c r="G1" s="150"/>
      <c r="H1" s="150"/>
    </row>
    <row r="2" spans="1:9" ht="19.5" customHeight="1">
      <c r="A2" s="12"/>
      <c r="B2" s="200" t="s">
        <v>137</v>
      </c>
      <c r="C2" s="200"/>
      <c r="D2" s="200"/>
      <c r="E2" s="200"/>
      <c r="F2" s="200"/>
      <c r="G2" s="200"/>
      <c r="H2" s="200"/>
    </row>
    <row r="3" spans="1:9" ht="20.25" customHeight="1">
      <c r="A3" s="12"/>
      <c r="B3" s="200"/>
      <c r="C3" s="200"/>
      <c r="D3" s="200"/>
      <c r="E3" s="200"/>
      <c r="F3" s="200"/>
      <c r="G3" s="200"/>
      <c r="H3" s="200"/>
    </row>
    <row r="4" spans="1:9" ht="13.5" customHeight="1">
      <c r="A4" s="12"/>
      <c r="B4" s="127"/>
      <c r="C4" s="127"/>
      <c r="D4" s="127"/>
      <c r="E4" s="127"/>
      <c r="F4" s="127"/>
      <c r="G4" s="127"/>
      <c r="H4" s="127"/>
    </row>
    <row r="5" spans="1:9">
      <c r="B5" s="3" t="s">
        <v>0</v>
      </c>
      <c r="D5" s="159" t="s">
        <v>14</v>
      </c>
      <c r="E5" s="159"/>
    </row>
    <row r="6" spans="1:9">
      <c r="B6" s="3" t="s">
        <v>1</v>
      </c>
      <c r="D6" s="128">
        <v>1962</v>
      </c>
      <c r="E6" s="128"/>
    </row>
    <row r="7" spans="1:9" hidden="1" outlineLevel="1">
      <c r="B7" s="3" t="s">
        <v>2</v>
      </c>
      <c r="D7" s="128">
        <v>2</v>
      </c>
      <c r="E7" s="128"/>
    </row>
    <row r="8" spans="1:9" hidden="1" outlineLevel="1">
      <c r="B8" s="3" t="s">
        <v>3</v>
      </c>
      <c r="D8" s="128">
        <v>16</v>
      </c>
      <c r="E8" s="128"/>
    </row>
    <row r="9" spans="1:9" ht="30.75" hidden="1" customHeight="1" outlineLevel="1">
      <c r="B9" s="13" t="s">
        <v>4</v>
      </c>
      <c r="C9" s="14"/>
      <c r="D9" s="128" t="s">
        <v>15</v>
      </c>
      <c r="E9" s="128"/>
    </row>
    <row r="10" spans="1:9" collapsed="1">
      <c r="B10" s="3" t="s">
        <v>5</v>
      </c>
      <c r="D10" s="128" t="s">
        <v>128</v>
      </c>
      <c r="E10" s="128"/>
      <c r="I10" s="10"/>
    </row>
    <row r="11" spans="1:9" hidden="1" outlineLevel="1">
      <c r="B11" s="3" t="s">
        <v>6</v>
      </c>
      <c r="D11" s="128" t="s">
        <v>7</v>
      </c>
      <c r="E11" s="128"/>
    </row>
    <row r="12" spans="1:9" ht="30.75" hidden="1" customHeight="1" outlineLevel="1">
      <c r="B12" s="13" t="s">
        <v>8</v>
      </c>
      <c r="C12" s="14"/>
      <c r="D12" s="101" t="s">
        <v>9</v>
      </c>
      <c r="E12" s="128"/>
      <c r="I12" s="10"/>
    </row>
    <row r="13" spans="1:9" collapsed="1">
      <c r="B13" s="13"/>
      <c r="C13" s="14"/>
      <c r="D13" s="101"/>
      <c r="E13" s="128"/>
      <c r="I13" s="10"/>
    </row>
    <row r="14" spans="1:9" ht="16.5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1:9" ht="42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1:9">
      <c r="B16" s="89" t="s">
        <v>12</v>
      </c>
      <c r="C16" s="137">
        <v>1333388.1299999999</v>
      </c>
      <c r="D16" s="138"/>
      <c r="E16" s="137">
        <v>976585.17999999993</v>
      </c>
      <c r="F16" s="138"/>
      <c r="G16" s="137">
        <v>356802.95</v>
      </c>
      <c r="H16" s="149"/>
      <c r="I16" s="10"/>
    </row>
    <row r="17" spans="2:14">
      <c r="B17" s="47" t="s">
        <v>13</v>
      </c>
      <c r="C17" s="142">
        <v>1209011.2399999998</v>
      </c>
      <c r="D17" s="143"/>
      <c r="E17" s="142">
        <v>886894.23999999987</v>
      </c>
      <c r="F17" s="143"/>
      <c r="G17" s="142">
        <v>322117</v>
      </c>
      <c r="H17" s="144"/>
      <c r="I17" s="10"/>
    </row>
    <row r="18" spans="2:14" ht="16.5" thickBot="1">
      <c r="B18" s="49" t="s">
        <v>63</v>
      </c>
      <c r="C18" s="145">
        <v>1316632.9024</v>
      </c>
      <c r="D18" s="146"/>
      <c r="E18" s="145">
        <v>985642.90240000002</v>
      </c>
      <c r="F18" s="146"/>
      <c r="G18" s="145">
        <v>330990</v>
      </c>
      <c r="H18" s="160"/>
      <c r="I18" s="10"/>
    </row>
    <row r="19" spans="2:14" ht="36.75" thickBot="1">
      <c r="B19" s="11" t="s">
        <v>115</v>
      </c>
      <c r="C19" s="161">
        <f>E19+G19</f>
        <v>-107621.66240000015</v>
      </c>
      <c r="D19" s="162"/>
      <c r="E19" s="139">
        <f>E17-E18</f>
        <v>-98748.662400000147</v>
      </c>
      <c r="F19" s="140"/>
      <c r="G19" s="139">
        <f>G17-G18</f>
        <v>-8873</v>
      </c>
      <c r="H19" s="141"/>
      <c r="I19" s="10"/>
    </row>
    <row r="20" spans="2:14">
      <c r="B20" s="13"/>
      <c r="C20" s="14"/>
      <c r="D20" s="101"/>
      <c r="E20" s="128"/>
      <c r="I20" s="10"/>
    </row>
    <row r="21" spans="2:14" ht="22.5" customHeight="1" thickBot="1">
      <c r="B21" s="208" t="s">
        <v>133</v>
      </c>
      <c r="C21" s="208"/>
      <c r="D21" s="208"/>
      <c r="E21" s="208"/>
      <c r="F21" s="208"/>
      <c r="G21" s="208"/>
      <c r="H21" s="208"/>
      <c r="I21" s="15"/>
      <c r="J21" s="15"/>
      <c r="L21" s="10"/>
      <c r="M21" s="168" t="s">
        <v>117</v>
      </c>
      <c r="N21" s="168" t="s">
        <v>118</v>
      </c>
    </row>
    <row r="22" spans="2:14" ht="27.75" customHeight="1">
      <c r="B22" s="151" t="s">
        <v>77</v>
      </c>
      <c r="C22" s="153" t="s">
        <v>78</v>
      </c>
      <c r="D22" s="153" t="s">
        <v>79</v>
      </c>
      <c r="E22" s="195" t="s">
        <v>134</v>
      </c>
      <c r="F22" s="155" t="s">
        <v>80</v>
      </c>
      <c r="G22" s="156"/>
      <c r="H22" s="157" t="s">
        <v>98</v>
      </c>
      <c r="I22" s="16"/>
      <c r="J22" s="16"/>
      <c r="L22" s="10"/>
      <c r="M22" s="169"/>
      <c r="N22" s="169"/>
    </row>
    <row r="23" spans="2:14" ht="45" customHeight="1" thickBot="1">
      <c r="B23" s="152"/>
      <c r="C23" s="154"/>
      <c r="D23" s="154"/>
      <c r="E23" s="196"/>
      <c r="F23" s="17" t="s">
        <v>68</v>
      </c>
      <c r="G23" s="18" t="s">
        <v>69</v>
      </c>
      <c r="H23" s="158"/>
      <c r="I23" s="16"/>
      <c r="J23" s="16"/>
      <c r="M23" s="103">
        <v>132587.09</v>
      </c>
      <c r="N23" s="103">
        <f>M23</f>
        <v>132587.09</v>
      </c>
    </row>
    <row r="24" spans="2:14" ht="50.25" customHeight="1">
      <c r="B24" s="19" t="s">
        <v>81</v>
      </c>
      <c r="C24" s="5" t="s">
        <v>96</v>
      </c>
      <c r="D24" s="20" t="s">
        <v>83</v>
      </c>
      <c r="E24" s="21">
        <v>3.42</v>
      </c>
      <c r="F24" s="22">
        <f>$M$23/$M$24*E24</f>
        <v>25691.096192634563</v>
      </c>
      <c r="G24" s="23">
        <f>$N$23/$N$24*E24</f>
        <v>25691.096192634563</v>
      </c>
      <c r="H24" s="24">
        <f>F24-G24</f>
        <v>0</v>
      </c>
      <c r="I24" s="25"/>
      <c r="J24" s="25"/>
      <c r="K24" s="130"/>
      <c r="L24" s="26"/>
      <c r="M24" s="104">
        <f>E33-E31</f>
        <v>17.649999999999999</v>
      </c>
      <c r="N24" s="104">
        <f>E33-E31</f>
        <v>17.649999999999999</v>
      </c>
    </row>
    <row r="25" spans="2:14" ht="51">
      <c r="B25" s="27" t="s">
        <v>75</v>
      </c>
      <c r="C25" s="5" t="s">
        <v>96</v>
      </c>
      <c r="D25" s="20" t="s">
        <v>83</v>
      </c>
      <c r="E25" s="6">
        <v>0</v>
      </c>
      <c r="F25" s="22">
        <f>$M$23/$M$24*E25</f>
        <v>0</v>
      </c>
      <c r="G25" s="23">
        <f>$N$23/$N$24*E25</f>
        <v>0</v>
      </c>
      <c r="H25" s="24">
        <f t="shared" ref="H25:H30" si="0">F25-G25</f>
        <v>0</v>
      </c>
      <c r="I25" s="25"/>
      <c r="J25" s="25"/>
      <c r="K25" s="2"/>
      <c r="L25" s="2"/>
      <c r="M25" s="105"/>
      <c r="N25" s="105"/>
    </row>
    <row r="26" spans="2:14" ht="52.5" customHeight="1">
      <c r="B26" s="28" t="s">
        <v>70</v>
      </c>
      <c r="C26" s="5" t="s">
        <v>96</v>
      </c>
      <c r="D26" s="20" t="s">
        <v>83</v>
      </c>
      <c r="E26" s="6">
        <v>0.35</v>
      </c>
      <c r="F26" s="22">
        <f t="shared" ref="F26:F32" si="1">$M$23/$M$24*E26</f>
        <v>2629.2057507082154</v>
      </c>
      <c r="G26" s="23">
        <f t="shared" ref="G26:G29" si="2">$N$23/$N$24*E26</f>
        <v>2629.2057507082154</v>
      </c>
      <c r="H26" s="24">
        <f t="shared" si="0"/>
        <v>0</v>
      </c>
      <c r="I26" s="25"/>
      <c r="J26" s="25"/>
      <c r="L26" s="10"/>
    </row>
    <row r="27" spans="2:14" ht="25.5">
      <c r="B27" s="28" t="s">
        <v>84</v>
      </c>
      <c r="C27" s="29" t="s">
        <v>85</v>
      </c>
      <c r="D27" s="20" t="s">
        <v>83</v>
      </c>
      <c r="E27" s="6">
        <v>0</v>
      </c>
      <c r="F27" s="22">
        <f t="shared" si="1"/>
        <v>0</v>
      </c>
      <c r="G27" s="23">
        <f t="shared" si="2"/>
        <v>0</v>
      </c>
      <c r="H27" s="24">
        <f t="shared" si="0"/>
        <v>0</v>
      </c>
      <c r="I27" s="25"/>
      <c r="J27" s="25"/>
      <c r="L27" s="10"/>
    </row>
    <row r="28" spans="2:14" ht="51">
      <c r="B28" s="27" t="s">
        <v>71</v>
      </c>
      <c r="C28" s="5" t="s">
        <v>97</v>
      </c>
      <c r="D28" s="20" t="s">
        <v>83</v>
      </c>
      <c r="E28" s="6">
        <v>2.1</v>
      </c>
      <c r="F28" s="22">
        <f t="shared" si="1"/>
        <v>15775.234504249293</v>
      </c>
      <c r="G28" s="23">
        <f t="shared" si="2"/>
        <v>15775.234504249293</v>
      </c>
      <c r="H28" s="24">
        <f t="shared" si="0"/>
        <v>0</v>
      </c>
      <c r="I28" s="25"/>
      <c r="J28" s="25"/>
    </row>
    <row r="29" spans="2:14" ht="216.75" customHeight="1">
      <c r="B29" s="27" t="s">
        <v>122</v>
      </c>
      <c r="C29" s="30" t="s">
        <v>86</v>
      </c>
      <c r="D29" s="20" t="s">
        <v>83</v>
      </c>
      <c r="E29" s="6">
        <v>8.9499999999999993</v>
      </c>
      <c r="F29" s="22">
        <f t="shared" si="1"/>
        <v>67232.547053824353</v>
      </c>
      <c r="G29" s="23">
        <f t="shared" si="2"/>
        <v>67232.547053824353</v>
      </c>
      <c r="H29" s="24">
        <f t="shared" si="0"/>
        <v>0</v>
      </c>
      <c r="I29" s="25"/>
      <c r="J29" s="25"/>
      <c r="K29" s="2"/>
      <c r="L29" s="1"/>
      <c r="M29" s="105"/>
      <c r="N29" s="105"/>
    </row>
    <row r="30" spans="2:14" ht="120" customHeight="1">
      <c r="B30" s="27" t="s">
        <v>87</v>
      </c>
      <c r="C30" s="5" t="s">
        <v>96</v>
      </c>
      <c r="D30" s="20" t="s">
        <v>83</v>
      </c>
      <c r="E30" s="6">
        <v>1.1499999999999999</v>
      </c>
      <c r="F30" s="22">
        <f t="shared" si="1"/>
        <v>8638.8188951841348</v>
      </c>
      <c r="G30" s="23">
        <f t="shared" ref="G30" si="3">$N$23/$N$24*E30</f>
        <v>8638.8188951841348</v>
      </c>
      <c r="H30" s="24">
        <f t="shared" si="0"/>
        <v>0</v>
      </c>
      <c r="I30" s="25"/>
      <c r="J30" s="25"/>
    </row>
    <row r="31" spans="2:14" ht="49.5" customHeight="1">
      <c r="B31" s="28" t="s">
        <v>88</v>
      </c>
      <c r="C31" s="5" t="s">
        <v>96</v>
      </c>
      <c r="D31" s="20" t="s">
        <v>83</v>
      </c>
      <c r="E31" s="6">
        <v>4.3</v>
      </c>
      <c r="F31" s="22">
        <v>32301.67</v>
      </c>
      <c r="G31" s="4">
        <v>16199</v>
      </c>
      <c r="H31" s="24">
        <f>F31-G31</f>
        <v>16102.669999999998</v>
      </c>
      <c r="I31" s="25"/>
      <c r="J31" s="25"/>
      <c r="L31" s="10"/>
    </row>
    <row r="32" spans="2:14" ht="16.5" thickBot="1">
      <c r="B32" s="31" t="s">
        <v>73</v>
      </c>
      <c r="C32" s="32" t="s">
        <v>86</v>
      </c>
      <c r="D32" s="33" t="s">
        <v>83</v>
      </c>
      <c r="E32" s="34">
        <v>1.68</v>
      </c>
      <c r="F32" s="22">
        <f t="shared" si="1"/>
        <v>12620.187603399434</v>
      </c>
      <c r="G32" s="23">
        <f t="shared" ref="G32" si="4">$N$23/$N$24*E32</f>
        <v>12620.187603399434</v>
      </c>
      <c r="H32" s="35">
        <f>F32-G32</f>
        <v>0</v>
      </c>
      <c r="I32" s="25"/>
      <c r="J32" s="25"/>
    </row>
    <row r="33" spans="2:14" ht="16.5" thickBot="1">
      <c r="B33" s="36" t="s">
        <v>74</v>
      </c>
      <c r="C33" s="37"/>
      <c r="D33" s="37"/>
      <c r="E33" s="38">
        <f>SUM(E24:E32)</f>
        <v>21.95</v>
      </c>
      <c r="F33" s="39">
        <f>SUM(F24:F32)</f>
        <v>164888.76</v>
      </c>
      <c r="G33" s="40">
        <f>SUM(G24:G32)</f>
        <v>148786.08999999997</v>
      </c>
      <c r="H33" s="41">
        <f>SUM(H24:H32)</f>
        <v>16102.669999999998</v>
      </c>
      <c r="I33" s="42"/>
      <c r="J33" s="42"/>
    </row>
    <row r="34" spans="2:14">
      <c r="B34" s="10"/>
      <c r="C34" s="10"/>
      <c r="D34" s="10"/>
      <c r="E34" s="132"/>
      <c r="F34" s="132"/>
      <c r="G34" s="132"/>
      <c r="H34" s="133"/>
      <c r="I34" s="133"/>
      <c r="J34" s="133"/>
    </row>
    <row r="35" spans="2:14" ht="16.5" customHeight="1" thickBot="1">
      <c r="B35" s="192" t="s">
        <v>135</v>
      </c>
      <c r="C35" s="192"/>
      <c r="D35" s="192"/>
      <c r="E35" s="192"/>
      <c r="F35" s="192"/>
      <c r="G35" s="192"/>
      <c r="H35" s="192"/>
      <c r="I35" s="43"/>
      <c r="J35" s="43"/>
    </row>
    <row r="36" spans="2:14" ht="44.25" customHeight="1" thickBot="1">
      <c r="B36" s="88" t="s">
        <v>136</v>
      </c>
      <c r="C36" s="135" t="s">
        <v>89</v>
      </c>
      <c r="D36" s="136"/>
      <c r="E36" s="147" t="s">
        <v>10</v>
      </c>
      <c r="F36" s="148"/>
      <c r="G36" s="147" t="s">
        <v>11</v>
      </c>
      <c r="H36" s="163"/>
      <c r="I36" s="44"/>
      <c r="J36" s="44"/>
      <c r="K36" s="45"/>
      <c r="L36" s="46"/>
      <c r="M36" s="106"/>
      <c r="N36" s="106"/>
    </row>
    <row r="37" spans="2:14">
      <c r="B37" s="89" t="s">
        <v>12</v>
      </c>
      <c r="C37" s="137">
        <f>E37+G37</f>
        <v>1498276.8900000001</v>
      </c>
      <c r="D37" s="138"/>
      <c r="E37" s="173">
        <f>F24+F25+F26+F27+F28+F29+F30+F32+E16</f>
        <v>1109172.27</v>
      </c>
      <c r="F37" s="174"/>
      <c r="G37" s="173">
        <f>F31+G16</f>
        <v>389104.62</v>
      </c>
      <c r="H37" s="175"/>
      <c r="I37" s="48"/>
      <c r="J37" s="48"/>
      <c r="K37" s="7"/>
      <c r="L37" s="7"/>
      <c r="M37" s="107"/>
    </row>
    <row r="38" spans="2:14">
      <c r="B38" s="47" t="s">
        <v>13</v>
      </c>
      <c r="C38" s="142">
        <f>E38+G38</f>
        <v>1348019.5299999998</v>
      </c>
      <c r="D38" s="143"/>
      <c r="E38" s="142">
        <f>E17+111776.6</f>
        <v>998670.83999999985</v>
      </c>
      <c r="F38" s="143"/>
      <c r="G38" s="142">
        <f>G17+27231.69</f>
        <v>349348.69</v>
      </c>
      <c r="H38" s="144"/>
      <c r="I38" s="48"/>
      <c r="J38" s="48"/>
      <c r="K38" s="9"/>
      <c r="L38" s="7"/>
      <c r="M38" s="107"/>
    </row>
    <row r="39" spans="2:14" ht="16.5" thickBot="1">
      <c r="B39" s="49" t="s">
        <v>63</v>
      </c>
      <c r="C39" s="145">
        <f>E39+G39</f>
        <v>1465418.9923999999</v>
      </c>
      <c r="D39" s="146"/>
      <c r="E39" s="170">
        <f>G24+G25+G26+G27+G28+G29+G30+G32+E18</f>
        <v>1118229.9923999999</v>
      </c>
      <c r="F39" s="171"/>
      <c r="G39" s="170">
        <f>G31+G18</f>
        <v>347189</v>
      </c>
      <c r="H39" s="172"/>
      <c r="I39" s="48"/>
      <c r="J39" s="48"/>
      <c r="K39" s="50"/>
      <c r="L39" s="50"/>
    </row>
    <row r="40" spans="2:14" ht="29.25" customHeight="1" thickBot="1">
      <c r="B40" s="11" t="s">
        <v>116</v>
      </c>
      <c r="C40" s="161">
        <f>E40+G40</f>
        <v>-117399.46240000002</v>
      </c>
      <c r="D40" s="162"/>
      <c r="E40" s="139">
        <f>E38-E39</f>
        <v>-119559.15240000002</v>
      </c>
      <c r="F40" s="140"/>
      <c r="G40" s="139">
        <f>G38-G39</f>
        <v>2159.6900000000023</v>
      </c>
      <c r="H40" s="141"/>
      <c r="I40" s="48"/>
      <c r="J40" s="48"/>
      <c r="K40" s="50"/>
      <c r="L40" s="50"/>
    </row>
    <row r="41" spans="2:14" ht="34.5" customHeight="1">
      <c r="B41" s="124" t="s">
        <v>64</v>
      </c>
      <c r="C41" s="167" t="s">
        <v>121</v>
      </c>
      <c r="D41" s="167"/>
      <c r="E41" s="167"/>
      <c r="F41" s="165" t="s">
        <v>126</v>
      </c>
      <c r="G41" s="165"/>
      <c r="H41" s="124"/>
      <c r="I41" s="124"/>
      <c r="J41" s="124"/>
      <c r="K41" s="2"/>
      <c r="L41" s="2"/>
      <c r="M41" s="105"/>
      <c r="N41" s="105"/>
    </row>
    <row r="42" spans="2:14" ht="11.25" customHeight="1">
      <c r="B42" s="124"/>
      <c r="C42" s="124"/>
      <c r="D42" s="124"/>
      <c r="E42" s="125"/>
      <c r="F42" s="166"/>
      <c r="G42" s="166"/>
      <c r="H42" s="126"/>
      <c r="I42" s="126"/>
      <c r="J42" s="126"/>
      <c r="K42" s="2"/>
      <c r="L42" s="2"/>
      <c r="M42" s="105"/>
      <c r="N42" s="105"/>
    </row>
    <row r="43" spans="2:14">
      <c r="B43" s="124" t="s">
        <v>65</v>
      </c>
      <c r="C43" s="167" t="s">
        <v>121</v>
      </c>
      <c r="D43" s="167"/>
      <c r="E43" s="167"/>
      <c r="F43" s="165" t="s">
        <v>76</v>
      </c>
      <c r="G43" s="165"/>
      <c r="H43" s="124"/>
      <c r="I43" s="124"/>
      <c r="J43" s="124"/>
      <c r="K43" s="2"/>
      <c r="L43" s="2"/>
      <c r="M43" s="105"/>
      <c r="N43" s="105"/>
    </row>
    <row r="44" spans="2:14" ht="9.75" customHeight="1">
      <c r="B44" s="124"/>
      <c r="C44" s="124"/>
      <c r="D44" s="124"/>
      <c r="E44" s="125"/>
      <c r="F44" s="165"/>
      <c r="G44" s="165"/>
      <c r="H44" s="124"/>
      <c r="I44" s="124"/>
      <c r="J44" s="124"/>
    </row>
    <row r="45" spans="2:14">
      <c r="B45" s="124" t="s">
        <v>66</v>
      </c>
      <c r="C45" s="167" t="s">
        <v>121</v>
      </c>
      <c r="D45" s="167"/>
      <c r="E45" s="167"/>
      <c r="F45" s="165" t="s">
        <v>127</v>
      </c>
      <c r="G45" s="165"/>
      <c r="H45" s="124"/>
      <c r="I45" s="124"/>
      <c r="J45" s="124"/>
    </row>
    <row r="46" spans="2:14" ht="8.25" customHeight="1">
      <c r="B46" s="51"/>
      <c r="C46" s="51"/>
      <c r="D46" s="51"/>
      <c r="E46" s="125"/>
      <c r="F46" s="52"/>
      <c r="G46" s="53"/>
      <c r="H46" s="54"/>
      <c r="I46" s="54"/>
      <c r="J46" s="54"/>
    </row>
    <row r="47" spans="2:14">
      <c r="B47" s="124" t="s">
        <v>67</v>
      </c>
      <c r="C47" s="167" t="s">
        <v>121</v>
      </c>
      <c r="D47" s="167"/>
      <c r="E47" s="167"/>
      <c r="F47" s="165" t="s">
        <v>127</v>
      </c>
      <c r="G47" s="165"/>
    </row>
    <row r="48" spans="2:14" ht="9" customHeight="1">
      <c r="B48" s="55"/>
      <c r="C48" s="55"/>
      <c r="D48" s="55"/>
      <c r="E48" s="125"/>
      <c r="F48" s="164"/>
      <c r="G48" s="164"/>
    </row>
    <row r="49" spans="5:5">
      <c r="E49" s="129"/>
    </row>
  </sheetData>
  <mergeCells count="55">
    <mergeCell ref="N21:N22"/>
    <mergeCell ref="C36:D36"/>
    <mergeCell ref="C37:D37"/>
    <mergeCell ref="C38:D38"/>
    <mergeCell ref="E37:F37"/>
    <mergeCell ref="B35:H35"/>
    <mergeCell ref="E36:F36"/>
    <mergeCell ref="G36:H36"/>
    <mergeCell ref="G37:H37"/>
    <mergeCell ref="G38:H38"/>
    <mergeCell ref="C39:D39"/>
    <mergeCell ref="C41:E41"/>
    <mergeCell ref="C43:E43"/>
    <mergeCell ref="E16:F16"/>
    <mergeCell ref="M21:M22"/>
    <mergeCell ref="E38:F38"/>
    <mergeCell ref="E39:F39"/>
    <mergeCell ref="G39:H39"/>
    <mergeCell ref="C45:E45"/>
    <mergeCell ref="C47:E47"/>
    <mergeCell ref="F47:G47"/>
    <mergeCell ref="E40:F40"/>
    <mergeCell ref="C40:D40"/>
    <mergeCell ref="G40:H40"/>
    <mergeCell ref="F48:G48"/>
    <mergeCell ref="F44:G44"/>
    <mergeCell ref="F45:G45"/>
    <mergeCell ref="F41:G41"/>
    <mergeCell ref="F42:G42"/>
    <mergeCell ref="F43:G43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G18:H18"/>
    <mergeCell ref="C17:D17"/>
    <mergeCell ref="C18:D18"/>
    <mergeCell ref="C19:D19"/>
    <mergeCell ref="B14:H14"/>
    <mergeCell ref="G15:H15"/>
    <mergeCell ref="C15:D15"/>
    <mergeCell ref="C16:D16"/>
    <mergeCell ref="E19:F19"/>
    <mergeCell ref="G19:H19"/>
    <mergeCell ref="E17:F17"/>
    <mergeCell ref="G17:H17"/>
    <mergeCell ref="E18:F18"/>
    <mergeCell ref="E15:F15"/>
    <mergeCell ref="G16:H16"/>
  </mergeCells>
  <printOptions horizontalCentered="1"/>
  <pageMargins left="0.19685039370078741" right="0.19685039370078741" top="0.15748031496062992" bottom="0.23622047244094491" header="0.15748031496062992" footer="0.23622047244094491"/>
  <pageSetup paperSize="9" scale="50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3"/>
  <sheetViews>
    <sheetView topLeftCell="A32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3" customWidth="1"/>
    <col min="2" max="2" width="56" style="3" customWidth="1"/>
    <col min="3" max="3" width="23.7109375" style="132" customWidth="1"/>
    <col min="4" max="4" width="9.28515625" style="133" customWidth="1"/>
    <col min="5" max="5" width="9.5703125" style="133" customWidth="1"/>
    <col min="6" max="6" width="10.42578125" style="3" customWidth="1"/>
    <col min="7" max="7" width="10.28515625" style="3" customWidth="1"/>
    <col min="8" max="11" width="11" style="3" customWidth="1"/>
    <col min="12" max="12" width="9.140625" style="3"/>
    <col min="13" max="13" width="14.28515625" style="102" customWidth="1"/>
    <col min="14" max="14" width="13.28515625" style="102" customWidth="1"/>
    <col min="15" max="16384" width="9.140625" style="3"/>
  </cols>
  <sheetData>
    <row r="1" spans="2:11" ht="19.5" customHeight="1">
      <c r="B1" s="150" t="s">
        <v>91</v>
      </c>
      <c r="C1" s="150"/>
      <c r="D1" s="150"/>
      <c r="E1" s="150"/>
      <c r="F1" s="150"/>
      <c r="G1" s="150"/>
      <c r="H1" s="150"/>
      <c r="I1" s="131"/>
      <c r="J1" s="131"/>
      <c r="K1" s="131"/>
    </row>
    <row r="2" spans="2:11" ht="20.25" customHeight="1">
      <c r="B2" s="200" t="s">
        <v>137</v>
      </c>
      <c r="C2" s="200"/>
      <c r="D2" s="200"/>
      <c r="E2" s="200"/>
      <c r="F2" s="200"/>
      <c r="G2" s="200"/>
      <c r="H2" s="200"/>
      <c r="I2" s="127"/>
      <c r="J2" s="127"/>
      <c r="K2" s="127"/>
    </row>
    <row r="3" spans="2:11" ht="23.25" customHeight="1">
      <c r="B3" s="200"/>
      <c r="C3" s="200"/>
      <c r="D3" s="200"/>
      <c r="E3" s="200"/>
      <c r="F3" s="200"/>
      <c r="G3" s="200"/>
      <c r="H3" s="200"/>
      <c r="I3" s="127"/>
      <c r="J3" s="127"/>
      <c r="K3" s="127"/>
    </row>
    <row r="4" spans="2:11" ht="9.75" customHeight="1"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2:11">
      <c r="B5" s="3" t="s">
        <v>0</v>
      </c>
      <c r="D5" s="159" t="s">
        <v>38</v>
      </c>
      <c r="E5" s="159"/>
    </row>
    <row r="6" spans="2:11">
      <c r="B6" s="3" t="s">
        <v>1</v>
      </c>
      <c r="D6" s="128">
        <v>1972</v>
      </c>
      <c r="E6" s="128"/>
    </row>
    <row r="7" spans="2:11" hidden="1" outlineLevel="1">
      <c r="B7" s="3" t="s">
        <v>2</v>
      </c>
      <c r="D7" s="128">
        <v>2</v>
      </c>
      <c r="E7" s="128"/>
    </row>
    <row r="8" spans="2:11" hidden="1" outlineLevel="1">
      <c r="B8" s="3" t="s">
        <v>3</v>
      </c>
      <c r="D8" s="128">
        <v>16</v>
      </c>
      <c r="E8" s="128"/>
    </row>
    <row r="9" spans="2:11" ht="30.75" hidden="1" customHeight="1" outlineLevel="1">
      <c r="B9" s="13" t="s">
        <v>4</v>
      </c>
      <c r="C9" s="14"/>
      <c r="D9" s="128" t="s">
        <v>39</v>
      </c>
      <c r="E9" s="128"/>
    </row>
    <row r="10" spans="2:11" collapsed="1">
      <c r="B10" s="3" t="s">
        <v>5</v>
      </c>
      <c r="D10" s="128" t="s">
        <v>106</v>
      </c>
      <c r="E10" s="128"/>
    </row>
    <row r="11" spans="2:11" hidden="1" outlineLevel="1">
      <c r="B11" s="3" t="s">
        <v>6</v>
      </c>
      <c r="D11" s="128" t="s">
        <v>7</v>
      </c>
      <c r="E11" s="128"/>
    </row>
    <row r="12" spans="2:11" ht="30.75" hidden="1" customHeight="1" outlineLevel="1">
      <c r="B12" s="13" t="s">
        <v>8</v>
      </c>
      <c r="C12" s="14"/>
      <c r="D12" s="101" t="s">
        <v>40</v>
      </c>
      <c r="E12" s="128"/>
    </row>
    <row r="13" spans="2:11" ht="7.5" customHeight="1" collapsed="1">
      <c r="B13" s="13"/>
      <c r="C13" s="14"/>
      <c r="D13" s="101"/>
      <c r="E13" s="128"/>
    </row>
    <row r="14" spans="2:11" ht="16.5" thickBot="1">
      <c r="B14" s="192" t="s">
        <v>129</v>
      </c>
      <c r="C14" s="192"/>
      <c r="D14" s="192"/>
      <c r="E14" s="192"/>
      <c r="F14" s="192"/>
      <c r="G14" s="192"/>
      <c r="H14" s="192"/>
    </row>
    <row r="15" spans="2:11" ht="46.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</row>
    <row r="16" spans="2:11">
      <c r="B16" s="89" t="s">
        <v>12</v>
      </c>
      <c r="C16" s="137">
        <v>1726335.5532062403</v>
      </c>
      <c r="D16" s="176"/>
      <c r="E16" s="173">
        <v>1603272.7732062403</v>
      </c>
      <c r="F16" s="174"/>
      <c r="G16" s="173">
        <v>123062.78000000001</v>
      </c>
      <c r="H16" s="175"/>
    </row>
    <row r="17" spans="2:14">
      <c r="B17" s="47" t="s">
        <v>13</v>
      </c>
      <c r="C17" s="142">
        <v>1059009.4500000002</v>
      </c>
      <c r="D17" s="177"/>
      <c r="E17" s="142">
        <v>937758.74000000011</v>
      </c>
      <c r="F17" s="143"/>
      <c r="G17" s="142">
        <v>121250.70999999999</v>
      </c>
      <c r="H17" s="144"/>
    </row>
    <row r="18" spans="2:14">
      <c r="B18" s="49" t="s">
        <v>63</v>
      </c>
      <c r="C18" s="142">
        <v>1414719.8699615519</v>
      </c>
      <c r="D18" s="177"/>
      <c r="E18" s="170">
        <v>1343223.8699615519</v>
      </c>
      <c r="F18" s="171"/>
      <c r="G18" s="170">
        <v>71496</v>
      </c>
      <c r="H18" s="172"/>
    </row>
    <row r="19" spans="2:14" ht="16.5" thickBot="1">
      <c r="B19" s="59" t="s">
        <v>114</v>
      </c>
      <c r="C19" s="145">
        <v>32400</v>
      </c>
      <c r="D19" s="178"/>
      <c r="E19" s="145">
        <v>32400</v>
      </c>
      <c r="F19" s="146"/>
      <c r="G19" s="145">
        <v>0</v>
      </c>
      <c r="H19" s="160"/>
    </row>
    <row r="20" spans="2:14" ht="30.75" customHeight="1" thickBot="1">
      <c r="B20" s="11" t="s">
        <v>115</v>
      </c>
      <c r="C20" s="161">
        <f>E20+G20</f>
        <v>-323310.41996155179</v>
      </c>
      <c r="D20" s="162"/>
      <c r="E20" s="139">
        <f>E17+E19-E18</f>
        <v>-373065.12996155175</v>
      </c>
      <c r="F20" s="140"/>
      <c r="G20" s="139">
        <f>G17-G18</f>
        <v>49754.709999999992</v>
      </c>
      <c r="H20" s="141"/>
    </row>
    <row r="21" spans="2:14">
      <c r="B21" s="13"/>
      <c r="C21" s="14"/>
      <c r="D21" s="101"/>
      <c r="E21" s="128"/>
    </row>
    <row r="22" spans="2:14" ht="23.25" customHeight="1" thickBot="1">
      <c r="B22" s="208" t="s">
        <v>133</v>
      </c>
      <c r="C22" s="208"/>
      <c r="D22" s="208"/>
      <c r="E22" s="208"/>
      <c r="F22" s="208"/>
      <c r="G22" s="208"/>
      <c r="H22" s="208"/>
      <c r="I22" s="15"/>
      <c r="J22" s="15"/>
      <c r="K22" s="15"/>
      <c r="L22" s="10"/>
      <c r="M22" s="168" t="s">
        <v>117</v>
      </c>
      <c r="N22" s="168" t="s">
        <v>118</v>
      </c>
    </row>
    <row r="23" spans="2:14" ht="33" customHeight="1">
      <c r="B23" s="151" t="s">
        <v>77</v>
      </c>
      <c r="C23" s="153" t="s">
        <v>78</v>
      </c>
      <c r="D23" s="153" t="s">
        <v>79</v>
      </c>
      <c r="E23" s="195" t="s">
        <v>134</v>
      </c>
      <c r="F23" s="155" t="s">
        <v>80</v>
      </c>
      <c r="G23" s="156"/>
      <c r="H23" s="157" t="s">
        <v>98</v>
      </c>
      <c r="I23" s="16"/>
      <c r="J23" s="16"/>
      <c r="K23" s="16"/>
      <c r="L23" s="10"/>
      <c r="M23" s="169"/>
      <c r="N23" s="169"/>
    </row>
    <row r="24" spans="2:14" ht="42.75" customHeight="1" thickBot="1">
      <c r="B24" s="152"/>
      <c r="C24" s="154"/>
      <c r="D24" s="154"/>
      <c r="E24" s="196"/>
      <c r="F24" s="17" t="s">
        <v>68</v>
      </c>
      <c r="G24" s="18" t="s">
        <v>69</v>
      </c>
      <c r="H24" s="158"/>
      <c r="I24" s="16"/>
      <c r="J24" s="16"/>
      <c r="K24" s="16"/>
      <c r="M24" s="103">
        <v>125534.44</v>
      </c>
      <c r="N24" s="103">
        <f>M24</f>
        <v>125534.44</v>
      </c>
    </row>
    <row r="25" spans="2:14" ht="45">
      <c r="B25" s="65" t="s">
        <v>81</v>
      </c>
      <c r="C25" s="5" t="s">
        <v>96</v>
      </c>
      <c r="D25" s="20" t="s">
        <v>83</v>
      </c>
      <c r="E25" s="21">
        <v>2.93</v>
      </c>
      <c r="F25" s="22">
        <f>$M$24/$M$25*E25</f>
        <v>22537.739534313729</v>
      </c>
      <c r="G25" s="23">
        <f>$N$24/$N$25*E25</f>
        <v>18101.176633858267</v>
      </c>
      <c r="H25" s="24">
        <f>F25-G25</f>
        <v>4436.5629004554612</v>
      </c>
      <c r="I25" s="25"/>
      <c r="J25" s="25"/>
      <c r="K25" s="25"/>
      <c r="L25" s="26"/>
      <c r="M25" s="104">
        <f>E35-E33-E32</f>
        <v>16.32</v>
      </c>
      <c r="N25" s="104">
        <f>E35-E33</f>
        <v>20.32</v>
      </c>
    </row>
    <row r="26" spans="2:14" ht="51.75">
      <c r="B26" s="67" t="s">
        <v>75</v>
      </c>
      <c r="C26" s="5" t="s">
        <v>96</v>
      </c>
      <c r="D26" s="20" t="s">
        <v>83</v>
      </c>
      <c r="E26" s="6">
        <v>3.23</v>
      </c>
      <c r="F26" s="22">
        <f t="shared" ref="F26:F34" si="0">$M$24/$M$25*E26</f>
        <v>24845.357916666668</v>
      </c>
      <c r="G26" s="23">
        <f t="shared" ref="G26:G30" si="1">$N$24/$N$25*E26</f>
        <v>19954.53942913386</v>
      </c>
      <c r="H26" s="24">
        <f t="shared" ref="H26:H31" si="2">F26-G26</f>
        <v>4890.8184875328079</v>
      </c>
      <c r="I26" s="25"/>
      <c r="J26" s="25"/>
      <c r="K26" s="25"/>
      <c r="L26" s="2"/>
      <c r="M26" s="105"/>
      <c r="N26" s="105"/>
    </row>
    <row r="27" spans="2:14" ht="51" customHeight="1">
      <c r="B27" s="28" t="s">
        <v>70</v>
      </c>
      <c r="C27" s="5" t="s">
        <v>96</v>
      </c>
      <c r="D27" s="20" t="s">
        <v>83</v>
      </c>
      <c r="E27" s="6">
        <v>0.35</v>
      </c>
      <c r="F27" s="22">
        <f t="shared" si="0"/>
        <v>2692.2214460784312</v>
      </c>
      <c r="G27" s="23">
        <f t="shared" si="1"/>
        <v>2162.256594488189</v>
      </c>
      <c r="H27" s="24">
        <f t="shared" si="2"/>
        <v>529.96485159024223</v>
      </c>
      <c r="I27" s="25"/>
      <c r="J27" s="25"/>
      <c r="K27" s="25"/>
      <c r="L27" s="10"/>
    </row>
    <row r="28" spans="2:14" ht="26.25">
      <c r="B28" s="69" t="s">
        <v>84</v>
      </c>
      <c r="C28" s="29" t="s">
        <v>85</v>
      </c>
      <c r="D28" s="20" t="s">
        <v>83</v>
      </c>
      <c r="E28" s="6">
        <v>0</v>
      </c>
      <c r="F28" s="22">
        <f t="shared" si="0"/>
        <v>0</v>
      </c>
      <c r="G28" s="23">
        <f t="shared" si="1"/>
        <v>0</v>
      </c>
      <c r="H28" s="24">
        <f t="shared" si="2"/>
        <v>0</v>
      </c>
      <c r="I28" s="25"/>
      <c r="J28" s="25"/>
      <c r="K28" s="25"/>
      <c r="L28" s="10"/>
    </row>
    <row r="29" spans="2:14" ht="51.75">
      <c r="B29" s="67" t="s">
        <v>71</v>
      </c>
      <c r="C29" s="5" t="s">
        <v>97</v>
      </c>
      <c r="D29" s="20" t="s">
        <v>83</v>
      </c>
      <c r="E29" s="6">
        <v>1.63</v>
      </c>
      <c r="F29" s="22">
        <f t="shared" si="0"/>
        <v>12538.05987745098</v>
      </c>
      <c r="G29" s="23">
        <f t="shared" si="1"/>
        <v>10069.937854330708</v>
      </c>
      <c r="H29" s="24">
        <f t="shared" si="2"/>
        <v>2468.1220231202715</v>
      </c>
      <c r="I29" s="25"/>
      <c r="J29" s="25"/>
      <c r="K29" s="25"/>
    </row>
    <row r="30" spans="2:14" ht="230.25" customHeight="1">
      <c r="B30" s="27" t="s">
        <v>95</v>
      </c>
      <c r="C30" s="30" t="s">
        <v>86</v>
      </c>
      <c r="D30" s="20" t="s">
        <v>83</v>
      </c>
      <c r="E30" s="6">
        <v>7</v>
      </c>
      <c r="F30" s="22">
        <f t="shared" si="0"/>
        <v>53844.428921568629</v>
      </c>
      <c r="G30" s="23">
        <f t="shared" si="1"/>
        <v>43245.131889763783</v>
      </c>
      <c r="H30" s="24">
        <f t="shared" si="2"/>
        <v>10599.297031804846</v>
      </c>
      <c r="I30" s="25"/>
      <c r="J30" s="25"/>
      <c r="K30" s="25"/>
      <c r="L30" s="1"/>
      <c r="M30" s="105"/>
      <c r="N30" s="105"/>
    </row>
    <row r="31" spans="2:14" ht="128.25" customHeight="1">
      <c r="B31" s="67" t="s">
        <v>87</v>
      </c>
      <c r="C31" s="5" t="s">
        <v>96</v>
      </c>
      <c r="D31" s="20" t="s">
        <v>83</v>
      </c>
      <c r="E31" s="6">
        <v>0.3</v>
      </c>
      <c r="F31" s="22">
        <f t="shared" si="0"/>
        <v>2307.6183823529414</v>
      </c>
      <c r="G31" s="23">
        <f t="shared" ref="G31:G33" si="3">$N$24/$N$25*E31</f>
        <v>1853.3627952755905</v>
      </c>
      <c r="H31" s="24">
        <f t="shared" si="2"/>
        <v>454.25558707735081</v>
      </c>
      <c r="I31" s="25"/>
      <c r="J31" s="25"/>
      <c r="K31" s="25"/>
    </row>
    <row r="32" spans="2:14" ht="51.75" customHeight="1">
      <c r="B32" s="28" t="s">
        <v>88</v>
      </c>
      <c r="C32" s="5" t="s">
        <v>96</v>
      </c>
      <c r="D32" s="20" t="s">
        <v>83</v>
      </c>
      <c r="E32" s="6">
        <v>4</v>
      </c>
      <c r="F32" s="22">
        <v>29924.78</v>
      </c>
      <c r="G32" s="4">
        <v>49050</v>
      </c>
      <c r="H32" s="24">
        <f>F32-G32</f>
        <v>-19125.22</v>
      </c>
      <c r="I32" s="25"/>
      <c r="J32" s="25"/>
      <c r="K32" s="25"/>
      <c r="L32" s="10"/>
    </row>
    <row r="33" spans="2:14" ht="29.25" customHeight="1">
      <c r="B33" s="28" t="s">
        <v>90</v>
      </c>
      <c r="C33" s="29" t="s">
        <v>85</v>
      </c>
      <c r="D33" s="20" t="s">
        <v>83</v>
      </c>
      <c r="E33" s="6">
        <v>0.46</v>
      </c>
      <c r="F33" s="22">
        <f>$M$24/$M$25*E33</f>
        <v>3538.3481862745102</v>
      </c>
      <c r="G33" s="23">
        <f t="shared" si="3"/>
        <v>2841.8229527559056</v>
      </c>
      <c r="H33" s="35">
        <f>F33-G33</f>
        <v>696.52523351860464</v>
      </c>
      <c r="I33" s="25"/>
      <c r="J33" s="25"/>
      <c r="K33" s="25"/>
      <c r="L33" s="10"/>
    </row>
    <row r="34" spans="2:14" ht="16.5" thickBot="1">
      <c r="B34" s="70" t="s">
        <v>73</v>
      </c>
      <c r="C34" s="32" t="s">
        <v>86</v>
      </c>
      <c r="D34" s="33" t="s">
        <v>83</v>
      </c>
      <c r="E34" s="34">
        <v>0.88</v>
      </c>
      <c r="F34" s="22">
        <f t="shared" si="0"/>
        <v>6769.0139215686277</v>
      </c>
      <c r="G34" s="23">
        <f t="shared" ref="G34" si="4">$N$24/$N$25*E34</f>
        <v>5436.5308661417321</v>
      </c>
      <c r="H34" s="71">
        <f>F34-G34</f>
        <v>1332.4830554268956</v>
      </c>
      <c r="I34" s="25"/>
      <c r="J34" s="25"/>
      <c r="K34" s="25"/>
    </row>
    <row r="35" spans="2:14" ht="16.5" thickBot="1">
      <c r="B35" s="72" t="s">
        <v>74</v>
      </c>
      <c r="C35" s="37"/>
      <c r="D35" s="37"/>
      <c r="E35" s="38">
        <f>SUM(E25:E34)</f>
        <v>20.78</v>
      </c>
      <c r="F35" s="39">
        <f>SUM(F25:F34)</f>
        <v>158997.56818627456</v>
      </c>
      <c r="G35" s="40">
        <f>SUM(G25:G34)</f>
        <v>152714.75901574804</v>
      </c>
      <c r="H35" s="41">
        <f>G35-F35</f>
        <v>-6282.8091705265106</v>
      </c>
      <c r="I35" s="94"/>
      <c r="J35" s="94"/>
      <c r="K35" s="94"/>
    </row>
    <row r="36" spans="2:14">
      <c r="B36" s="10"/>
      <c r="C36" s="10"/>
      <c r="D36" s="10"/>
      <c r="E36" s="132"/>
      <c r="F36" s="132"/>
      <c r="G36" s="132"/>
      <c r="H36" s="133"/>
      <c r="I36" s="133"/>
      <c r="J36" s="133"/>
      <c r="K36" s="133"/>
    </row>
    <row r="37" spans="2:14" ht="16.5" customHeight="1" thickBot="1">
      <c r="B37" s="192" t="s">
        <v>135</v>
      </c>
      <c r="C37" s="192"/>
      <c r="D37" s="192"/>
      <c r="E37" s="192"/>
      <c r="F37" s="192"/>
      <c r="G37" s="192"/>
      <c r="H37" s="192"/>
      <c r="I37" s="95"/>
      <c r="J37" s="95"/>
      <c r="K37" s="95"/>
    </row>
    <row r="38" spans="2:14" ht="45.75" customHeight="1" thickBot="1">
      <c r="B38" s="88" t="s">
        <v>136</v>
      </c>
      <c r="C38" s="135" t="s">
        <v>89</v>
      </c>
      <c r="D38" s="136"/>
      <c r="E38" s="147" t="s">
        <v>10</v>
      </c>
      <c r="F38" s="148"/>
      <c r="G38" s="147" t="s">
        <v>11</v>
      </c>
      <c r="H38" s="163"/>
      <c r="I38" s="44"/>
      <c r="J38" s="44"/>
      <c r="K38" s="44"/>
      <c r="L38" s="46"/>
      <c r="M38" s="106"/>
      <c r="N38" s="106"/>
    </row>
    <row r="39" spans="2:14">
      <c r="B39" s="89" t="s">
        <v>12</v>
      </c>
      <c r="C39" s="137">
        <f>E39+G39</f>
        <v>1885333.1213925148</v>
      </c>
      <c r="D39" s="138"/>
      <c r="E39" s="173">
        <f>F26+F27+F28+F29+F30+F33+F31+F34+E16+F25</f>
        <v>1732345.5613925147</v>
      </c>
      <c r="F39" s="174"/>
      <c r="G39" s="173">
        <f>F32+G16</f>
        <v>152987.56</v>
      </c>
      <c r="H39" s="175"/>
      <c r="I39" s="48"/>
      <c r="J39" s="48"/>
      <c r="K39" s="48"/>
      <c r="L39" s="50"/>
      <c r="N39" s="115"/>
    </row>
    <row r="40" spans="2:14">
      <c r="B40" s="47" t="s">
        <v>13</v>
      </c>
      <c r="C40" s="142">
        <f>E40+G40</f>
        <v>1209254.4500000002</v>
      </c>
      <c r="D40" s="143"/>
      <c r="E40" s="142">
        <f>E17+121323.92</f>
        <v>1059082.6600000001</v>
      </c>
      <c r="F40" s="143"/>
      <c r="G40" s="142">
        <f>G17+28921.08</f>
        <v>150171.78999999998</v>
      </c>
      <c r="H40" s="144"/>
      <c r="I40" s="48"/>
      <c r="J40" s="48"/>
      <c r="K40" s="48"/>
      <c r="L40" s="50"/>
      <c r="N40" s="115"/>
    </row>
    <row r="41" spans="2:14">
      <c r="B41" s="49" t="s">
        <v>63</v>
      </c>
      <c r="C41" s="142">
        <f>E41+G41</f>
        <v>1567434.6289772999</v>
      </c>
      <c r="D41" s="143"/>
      <c r="E41" s="170">
        <f>G26+G27+G28+G29+G30+G31+G33+G34+E18+G25</f>
        <v>1446888.6289772999</v>
      </c>
      <c r="F41" s="171"/>
      <c r="G41" s="170">
        <f>G32+G18</f>
        <v>120546</v>
      </c>
      <c r="H41" s="172"/>
      <c r="I41" s="48"/>
      <c r="J41" s="48"/>
      <c r="K41" s="48"/>
      <c r="L41" s="50"/>
    </row>
    <row r="42" spans="2:14" ht="16.5" thickBot="1">
      <c r="B42" s="59" t="s">
        <v>114</v>
      </c>
      <c r="C42" s="145">
        <f>E42+G42</f>
        <v>36000</v>
      </c>
      <c r="D42" s="146"/>
      <c r="E42" s="145">
        <f>E19+3600</f>
        <v>36000</v>
      </c>
      <c r="F42" s="146"/>
      <c r="G42" s="145">
        <f>G19</f>
        <v>0</v>
      </c>
      <c r="H42" s="160"/>
      <c r="I42" s="48"/>
      <c r="J42" s="48"/>
      <c r="K42" s="48"/>
      <c r="L42" s="50"/>
    </row>
    <row r="43" spans="2:14" ht="28.5" customHeight="1" thickBot="1">
      <c r="B43" s="11" t="s">
        <v>116</v>
      </c>
      <c r="C43" s="161">
        <f>E43+G43</f>
        <v>-322180.17897729977</v>
      </c>
      <c r="D43" s="162"/>
      <c r="E43" s="139">
        <f>E40+E42-E41</f>
        <v>-351805.96897729975</v>
      </c>
      <c r="F43" s="140"/>
      <c r="G43" s="139">
        <f>G40-G41</f>
        <v>29625.789999999979</v>
      </c>
      <c r="H43" s="141"/>
      <c r="I43" s="48"/>
      <c r="J43" s="48"/>
      <c r="K43" s="48"/>
      <c r="L43" s="50"/>
    </row>
    <row r="44" spans="2:14" ht="24.75" customHeight="1">
      <c r="B44" s="124" t="s">
        <v>64</v>
      </c>
      <c r="C44" s="167" t="s">
        <v>121</v>
      </c>
      <c r="D44" s="167"/>
      <c r="E44" s="167"/>
      <c r="F44" s="165" t="s">
        <v>126</v>
      </c>
      <c r="G44" s="165"/>
      <c r="H44" s="48"/>
      <c r="I44" s="48"/>
      <c r="J44" s="48"/>
      <c r="K44" s="48"/>
      <c r="L44" s="50"/>
    </row>
    <row r="45" spans="2:14" ht="9" customHeight="1">
      <c r="B45" s="124"/>
      <c r="C45" s="124"/>
      <c r="D45" s="124"/>
      <c r="E45" s="125"/>
      <c r="F45" s="166"/>
      <c r="G45" s="166"/>
      <c r="H45" s="124"/>
      <c r="I45" s="124"/>
      <c r="J45" s="124"/>
      <c r="K45" s="124"/>
      <c r="L45" s="2"/>
      <c r="M45" s="105"/>
      <c r="N45" s="105"/>
    </row>
    <row r="46" spans="2:14" ht="15" customHeight="1">
      <c r="B46" s="124" t="s">
        <v>65</v>
      </c>
      <c r="C46" s="167" t="s">
        <v>121</v>
      </c>
      <c r="D46" s="167"/>
      <c r="E46" s="167"/>
      <c r="F46" s="165" t="s">
        <v>76</v>
      </c>
      <c r="G46" s="165"/>
      <c r="H46" s="126"/>
      <c r="I46" s="126"/>
      <c r="J46" s="126"/>
      <c r="K46" s="126"/>
      <c r="L46" s="2"/>
      <c r="M46" s="105"/>
      <c r="N46" s="105"/>
    </row>
    <row r="47" spans="2:14" ht="9.75" customHeight="1">
      <c r="B47" s="124"/>
      <c r="C47" s="124"/>
      <c r="D47" s="124"/>
      <c r="E47" s="125"/>
      <c r="F47" s="165"/>
      <c r="G47" s="165"/>
      <c r="H47" s="124"/>
      <c r="I47" s="124"/>
      <c r="J47" s="124"/>
      <c r="K47" s="124"/>
      <c r="L47" s="2"/>
      <c r="M47" s="105"/>
      <c r="N47" s="105"/>
    </row>
    <row r="48" spans="2:14" ht="13.5" customHeight="1">
      <c r="B48" s="124" t="s">
        <v>66</v>
      </c>
      <c r="C48" s="167" t="s">
        <v>121</v>
      </c>
      <c r="D48" s="167"/>
      <c r="E48" s="167"/>
      <c r="F48" s="165" t="s">
        <v>127</v>
      </c>
      <c r="G48" s="165"/>
      <c r="H48" s="124"/>
      <c r="I48" s="124"/>
      <c r="J48" s="124"/>
      <c r="K48" s="124"/>
    </row>
    <row r="49" spans="2:11" ht="8.25" customHeight="1">
      <c r="B49" s="51"/>
      <c r="C49" s="51"/>
      <c r="D49" s="51"/>
      <c r="E49" s="125"/>
      <c r="F49" s="52"/>
      <c r="G49" s="53"/>
      <c r="H49" s="124"/>
      <c r="I49" s="124"/>
      <c r="J49" s="124"/>
      <c r="K49" s="124"/>
    </row>
    <row r="50" spans="2:11" ht="14.25" customHeight="1">
      <c r="B50" s="124" t="s">
        <v>67</v>
      </c>
      <c r="C50" s="167" t="s">
        <v>121</v>
      </c>
      <c r="D50" s="167"/>
      <c r="E50" s="167"/>
      <c r="F50" s="165" t="s">
        <v>127</v>
      </c>
      <c r="G50" s="165"/>
      <c r="H50" s="54"/>
      <c r="I50" s="54"/>
      <c r="J50" s="54"/>
      <c r="K50" s="54"/>
    </row>
    <row r="51" spans="2:11">
      <c r="B51" s="74"/>
      <c r="C51" s="74"/>
      <c r="D51" s="74"/>
      <c r="E51" s="126"/>
      <c r="F51" s="165"/>
      <c r="G51" s="165"/>
    </row>
    <row r="52" spans="2:11" ht="7.5" customHeight="1">
      <c r="C52" s="3"/>
      <c r="D52" s="3"/>
      <c r="E52" s="129"/>
      <c r="F52" s="190"/>
      <c r="G52" s="190"/>
    </row>
    <row r="53" spans="2:11">
      <c r="D53" s="132"/>
    </row>
  </sheetData>
  <mergeCells count="62">
    <mergeCell ref="C43:D43"/>
    <mergeCell ref="C40:D40"/>
    <mergeCell ref="C41:D41"/>
    <mergeCell ref="C20:D20"/>
    <mergeCell ref="C38:D38"/>
    <mergeCell ref="C39:D39"/>
    <mergeCell ref="M22:M23"/>
    <mergeCell ref="B37:H37"/>
    <mergeCell ref="C42:D42"/>
    <mergeCell ref="N22:N23"/>
    <mergeCell ref="C18:D18"/>
    <mergeCell ref="E18:F18"/>
    <mergeCell ref="G18:H18"/>
    <mergeCell ref="C19:D19"/>
    <mergeCell ref="E19:F19"/>
    <mergeCell ref="G19:H19"/>
    <mergeCell ref="B22:H22"/>
    <mergeCell ref="B23:B24"/>
    <mergeCell ref="C23:C24"/>
    <mergeCell ref="D23:D24"/>
    <mergeCell ref="E23:E24"/>
    <mergeCell ref="F23:G23"/>
    <mergeCell ref="H23:H24"/>
    <mergeCell ref="E20:F20"/>
    <mergeCell ref="G20:H20"/>
    <mergeCell ref="C16:D16"/>
    <mergeCell ref="E16:F16"/>
    <mergeCell ref="G16:H16"/>
    <mergeCell ref="C17:D17"/>
    <mergeCell ref="E17:F17"/>
    <mergeCell ref="G17:H17"/>
    <mergeCell ref="B1:H1"/>
    <mergeCell ref="B14:H14"/>
    <mergeCell ref="C15:D15"/>
    <mergeCell ref="E15:F15"/>
    <mergeCell ref="G15:H15"/>
    <mergeCell ref="B2:H3"/>
    <mergeCell ref="D5:E5"/>
    <mergeCell ref="E41:F41"/>
    <mergeCell ref="E43:F43"/>
    <mergeCell ref="E38:F38"/>
    <mergeCell ref="G38:H38"/>
    <mergeCell ref="E39:F39"/>
    <mergeCell ref="G39:H39"/>
    <mergeCell ref="E40:F40"/>
    <mergeCell ref="G40:H40"/>
    <mergeCell ref="G41:H41"/>
    <mergeCell ref="G43:H43"/>
    <mergeCell ref="E42:F42"/>
    <mergeCell ref="G42:H42"/>
    <mergeCell ref="F52:G52"/>
    <mergeCell ref="F51:G51"/>
    <mergeCell ref="F47:G47"/>
    <mergeCell ref="F48:G48"/>
    <mergeCell ref="C44:E44"/>
    <mergeCell ref="F44:G44"/>
    <mergeCell ref="C46:E46"/>
    <mergeCell ref="C48:E48"/>
    <mergeCell ref="C50:E50"/>
    <mergeCell ref="F50:G50"/>
    <mergeCell ref="F45:G45"/>
    <mergeCell ref="F46:G46"/>
  </mergeCells>
  <printOptions horizontalCentered="1"/>
  <pageMargins left="0.23622047244094491" right="0.19685039370078741" top="0.15748031496062992" bottom="0.23622047244094491" header="0.31496062992125984" footer="0.24"/>
  <pageSetup paperSize="9" scale="4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7.42578125" style="3" customWidth="1"/>
    <col min="3" max="3" width="21.140625" style="63" customWidth="1"/>
    <col min="4" max="4" width="9.28515625" style="133" customWidth="1"/>
    <col min="5" max="5" width="10.28515625" style="133" customWidth="1"/>
    <col min="6" max="6" width="11" style="3" customWidth="1"/>
    <col min="7" max="7" width="10.28515625" style="3" customWidth="1"/>
    <col min="8" max="8" width="10.5703125" style="3" customWidth="1"/>
    <col min="9" max="9" width="12.28515625" style="3" customWidth="1"/>
    <col min="10" max="12" width="9.140625" style="3"/>
    <col min="13" max="13" width="13.7109375" style="102" customWidth="1"/>
    <col min="14" max="14" width="13.42578125" style="102" customWidth="1"/>
    <col min="15" max="16384" width="9.140625" style="3"/>
  </cols>
  <sheetData>
    <row r="1" spans="2:9">
      <c r="B1" s="150" t="s">
        <v>91</v>
      </c>
      <c r="C1" s="150"/>
      <c r="D1" s="150"/>
      <c r="E1" s="150"/>
      <c r="F1" s="150"/>
      <c r="G1" s="150"/>
      <c r="H1" s="150"/>
    </row>
    <row r="2" spans="2:9" ht="19.5" customHeight="1">
      <c r="B2" s="200" t="s">
        <v>137</v>
      </c>
      <c r="C2" s="200"/>
      <c r="D2" s="200"/>
      <c r="E2" s="200"/>
      <c r="F2" s="200"/>
      <c r="G2" s="200"/>
      <c r="H2" s="200"/>
    </row>
    <row r="3" spans="2:9" ht="20.25" customHeight="1">
      <c r="B3" s="200"/>
      <c r="C3" s="200"/>
      <c r="D3" s="200"/>
      <c r="E3" s="200"/>
      <c r="F3" s="200"/>
      <c r="G3" s="200"/>
      <c r="H3" s="200"/>
    </row>
    <row r="4" spans="2:9" ht="16.5" customHeight="1"/>
    <row r="5" spans="2:9">
      <c r="B5" s="3" t="s">
        <v>0</v>
      </c>
      <c r="D5" s="159" t="s">
        <v>41</v>
      </c>
      <c r="E5" s="159"/>
    </row>
    <row r="6" spans="2:9">
      <c r="B6" s="3" t="s">
        <v>1</v>
      </c>
      <c r="D6" s="128">
        <v>1973</v>
      </c>
      <c r="E6" s="128"/>
    </row>
    <row r="7" spans="2:9" hidden="1" outlineLevel="1">
      <c r="B7" s="3" t="s">
        <v>2</v>
      </c>
      <c r="D7" s="128">
        <v>2</v>
      </c>
      <c r="E7" s="128"/>
    </row>
    <row r="8" spans="2:9" hidden="1" outlineLevel="1">
      <c r="B8" s="3" t="s">
        <v>3</v>
      </c>
      <c r="D8" s="128">
        <v>15</v>
      </c>
      <c r="E8" s="128"/>
    </row>
    <row r="9" spans="2:9" ht="30.75" hidden="1" customHeight="1" outlineLevel="1">
      <c r="B9" s="13" t="s">
        <v>4</v>
      </c>
      <c r="C9" s="64"/>
      <c r="D9" s="128" t="s">
        <v>42</v>
      </c>
      <c r="E9" s="128"/>
    </row>
    <row r="10" spans="2:9" collapsed="1">
      <c r="B10" s="3" t="s">
        <v>5</v>
      </c>
      <c r="D10" s="128" t="s">
        <v>107</v>
      </c>
      <c r="E10" s="128"/>
      <c r="I10" s="10"/>
    </row>
    <row r="11" spans="2:9" hidden="1" outlineLevel="1">
      <c r="B11" s="3" t="s">
        <v>6</v>
      </c>
      <c r="D11" s="128" t="s">
        <v>7</v>
      </c>
      <c r="E11" s="128"/>
    </row>
    <row r="12" spans="2:9" ht="30.75" hidden="1" customHeight="1" outlineLevel="1">
      <c r="B12" s="13" t="s">
        <v>8</v>
      </c>
      <c r="C12" s="64"/>
      <c r="D12" s="101" t="s">
        <v>43</v>
      </c>
      <c r="E12" s="128"/>
      <c r="I12" s="10"/>
    </row>
    <row r="13" spans="2:9" ht="10.5" customHeight="1" collapsed="1">
      <c r="B13" s="13"/>
      <c r="C13" s="64"/>
      <c r="D13" s="101"/>
      <c r="E13" s="128"/>
      <c r="I13" s="10"/>
    </row>
    <row r="14" spans="2:9" ht="16.5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2:9" ht="4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2:9">
      <c r="B16" s="89" t="s">
        <v>12</v>
      </c>
      <c r="C16" s="137">
        <v>1208461.2200000002</v>
      </c>
      <c r="D16" s="176"/>
      <c r="E16" s="173">
        <v>957050.81000000017</v>
      </c>
      <c r="F16" s="174"/>
      <c r="G16" s="173">
        <v>251410.40999999997</v>
      </c>
      <c r="H16" s="175"/>
      <c r="I16" s="10"/>
    </row>
    <row r="17" spans="2:14">
      <c r="B17" s="47" t="s">
        <v>13</v>
      </c>
      <c r="C17" s="142">
        <v>1115031.7599999998</v>
      </c>
      <c r="D17" s="177"/>
      <c r="E17" s="142">
        <v>883314.81999999983</v>
      </c>
      <c r="F17" s="143"/>
      <c r="G17" s="142">
        <v>231716.94</v>
      </c>
      <c r="H17" s="144"/>
      <c r="I17" s="10"/>
    </row>
    <row r="18" spans="2:14">
      <c r="B18" s="49" t="s">
        <v>63</v>
      </c>
      <c r="C18" s="142">
        <v>1209199.2180000001</v>
      </c>
      <c r="D18" s="177"/>
      <c r="E18" s="170">
        <v>980120.21800000011</v>
      </c>
      <c r="F18" s="171"/>
      <c r="G18" s="170">
        <v>229079</v>
      </c>
      <c r="H18" s="172"/>
      <c r="I18" s="10"/>
    </row>
    <row r="19" spans="2:14" ht="16.5" thickBot="1">
      <c r="B19" s="59" t="s">
        <v>114</v>
      </c>
      <c r="C19" s="145">
        <v>32400</v>
      </c>
      <c r="D19" s="178"/>
      <c r="E19" s="145">
        <v>32400</v>
      </c>
      <c r="F19" s="146"/>
      <c r="G19" s="145">
        <v>0</v>
      </c>
      <c r="H19" s="160"/>
      <c r="I19" s="10"/>
    </row>
    <row r="20" spans="2:14" ht="32.25" customHeight="1" thickBot="1">
      <c r="B20" s="11" t="s">
        <v>115</v>
      </c>
      <c r="C20" s="161">
        <f>E20+G20</f>
        <v>-61767.458000000275</v>
      </c>
      <c r="D20" s="162"/>
      <c r="E20" s="139">
        <f>E17+E19-E18</f>
        <v>-64405.398000000278</v>
      </c>
      <c r="F20" s="140"/>
      <c r="G20" s="139">
        <f>G17-G18</f>
        <v>2637.9400000000023</v>
      </c>
      <c r="H20" s="141"/>
      <c r="I20" s="10"/>
    </row>
    <row r="21" spans="2:14">
      <c r="B21" s="13"/>
      <c r="C21" s="64"/>
      <c r="D21" s="101"/>
      <c r="E21" s="128"/>
      <c r="I21" s="10"/>
    </row>
    <row r="22" spans="2:14" ht="24.75" customHeight="1" thickBot="1">
      <c r="B22" s="208" t="s">
        <v>133</v>
      </c>
      <c r="C22" s="208"/>
      <c r="D22" s="208"/>
      <c r="E22" s="208"/>
      <c r="F22" s="208"/>
      <c r="G22" s="208"/>
      <c r="H22" s="208"/>
      <c r="I22" s="15"/>
      <c r="J22" s="15"/>
      <c r="L22" s="10"/>
      <c r="M22" s="168" t="s">
        <v>117</v>
      </c>
      <c r="N22" s="168" t="s">
        <v>118</v>
      </c>
    </row>
    <row r="23" spans="2:14" ht="27.75" customHeight="1">
      <c r="B23" s="151" t="s">
        <v>77</v>
      </c>
      <c r="C23" s="153" t="s">
        <v>78</v>
      </c>
      <c r="D23" s="153" t="s">
        <v>79</v>
      </c>
      <c r="E23" s="195" t="s">
        <v>134</v>
      </c>
      <c r="F23" s="155" t="s">
        <v>80</v>
      </c>
      <c r="G23" s="156"/>
      <c r="H23" s="157" t="s">
        <v>98</v>
      </c>
      <c r="I23" s="16"/>
      <c r="J23" s="16"/>
      <c r="L23" s="10"/>
      <c r="M23" s="169"/>
      <c r="N23" s="169"/>
    </row>
    <row r="24" spans="2:14" ht="45" customHeight="1" thickBot="1">
      <c r="B24" s="152"/>
      <c r="C24" s="154"/>
      <c r="D24" s="154"/>
      <c r="E24" s="196"/>
      <c r="F24" s="17" t="s">
        <v>68</v>
      </c>
      <c r="G24" s="18" t="s">
        <v>69</v>
      </c>
      <c r="H24" s="158"/>
      <c r="I24" s="16"/>
      <c r="J24" s="16"/>
      <c r="M24" s="103">
        <v>122044.22</v>
      </c>
      <c r="N24" s="103">
        <f>M24</f>
        <v>122044.22</v>
      </c>
    </row>
    <row r="25" spans="2:14" ht="50.25" customHeight="1">
      <c r="B25" s="19" t="s">
        <v>81</v>
      </c>
      <c r="C25" s="5" t="s">
        <v>96</v>
      </c>
      <c r="D25" s="20" t="s">
        <v>83</v>
      </c>
      <c r="E25" s="21">
        <v>2.99</v>
      </c>
      <c r="F25" s="22">
        <f>$M$24/$M$25*E25</f>
        <v>21742.967157242449</v>
      </c>
      <c r="G25" s="23">
        <f>$N$24/$N$25*E25</f>
        <v>21742.967157242449</v>
      </c>
      <c r="H25" s="24">
        <f>F25-G25</f>
        <v>0</v>
      </c>
      <c r="I25" s="25"/>
      <c r="J25" s="25"/>
      <c r="K25" s="130"/>
      <c r="L25" s="26"/>
      <c r="M25" s="104">
        <f>E34-E32</f>
        <v>16.783000000000001</v>
      </c>
      <c r="N25" s="104">
        <f>E34-E32</f>
        <v>16.783000000000001</v>
      </c>
    </row>
    <row r="26" spans="2:14" ht="56.25">
      <c r="B26" s="27" t="s">
        <v>75</v>
      </c>
      <c r="C26" s="5" t="s">
        <v>96</v>
      </c>
      <c r="D26" s="20" t="s">
        <v>83</v>
      </c>
      <c r="E26" s="6">
        <v>3.27</v>
      </c>
      <c r="F26" s="22">
        <f t="shared" ref="F26:F33" si="0">$M$24/$M$25*E26</f>
        <v>23779.097860930702</v>
      </c>
      <c r="G26" s="23">
        <f t="shared" ref="G26:G28" si="1">$N$24/$N$25*E26</f>
        <v>23779.097860930702</v>
      </c>
      <c r="H26" s="24">
        <f t="shared" ref="H26:H31" si="2">F26-G26</f>
        <v>0</v>
      </c>
      <c r="I26" s="25"/>
      <c r="J26" s="25"/>
      <c r="K26" s="2"/>
      <c r="L26" s="2"/>
      <c r="M26" s="105"/>
      <c r="N26" s="105"/>
    </row>
    <row r="27" spans="2:14" ht="52.5" customHeight="1">
      <c r="B27" s="28" t="s">
        <v>70</v>
      </c>
      <c r="C27" s="5" t="s">
        <v>96</v>
      </c>
      <c r="D27" s="20" t="s">
        <v>83</v>
      </c>
      <c r="E27" s="6">
        <v>0.35</v>
      </c>
      <c r="F27" s="22">
        <f t="shared" si="0"/>
        <v>2545.1633796103197</v>
      </c>
      <c r="G27" s="23">
        <f t="shared" si="1"/>
        <v>2545.1633796103197</v>
      </c>
      <c r="H27" s="24">
        <f t="shared" si="2"/>
        <v>0</v>
      </c>
      <c r="I27" s="25"/>
      <c r="J27" s="25"/>
      <c r="L27" s="10"/>
    </row>
    <row r="28" spans="2:14" ht="25.5">
      <c r="B28" s="28" t="s">
        <v>84</v>
      </c>
      <c r="C28" s="29" t="s">
        <v>85</v>
      </c>
      <c r="D28" s="20" t="s">
        <v>83</v>
      </c>
      <c r="E28" s="6">
        <v>0</v>
      </c>
      <c r="F28" s="22">
        <f t="shared" si="0"/>
        <v>0</v>
      </c>
      <c r="G28" s="23">
        <f t="shared" si="1"/>
        <v>0</v>
      </c>
      <c r="H28" s="24">
        <f t="shared" si="2"/>
        <v>0</v>
      </c>
      <c r="I28" s="25"/>
      <c r="J28" s="25"/>
      <c r="L28" s="10"/>
    </row>
    <row r="29" spans="2:14" ht="51">
      <c r="B29" s="27" t="s">
        <v>71</v>
      </c>
      <c r="C29" s="5" t="s">
        <v>97</v>
      </c>
      <c r="D29" s="20" t="s">
        <v>83</v>
      </c>
      <c r="E29" s="6">
        <v>1.63</v>
      </c>
      <c r="F29" s="22">
        <f t="shared" si="0"/>
        <v>11853.189453613773</v>
      </c>
      <c r="G29" s="23">
        <f t="shared" ref="G29:G30" si="3">$N$24/$N$25*E29</f>
        <v>11853.189453613773</v>
      </c>
      <c r="H29" s="24">
        <f t="shared" si="2"/>
        <v>0</v>
      </c>
      <c r="I29" s="25"/>
      <c r="J29" s="25"/>
    </row>
    <row r="30" spans="2:14" ht="236.25" customHeight="1">
      <c r="B30" s="27" t="s">
        <v>95</v>
      </c>
      <c r="C30" s="30" t="s">
        <v>86</v>
      </c>
      <c r="D30" s="20" t="s">
        <v>83</v>
      </c>
      <c r="E30" s="6">
        <v>7.17</v>
      </c>
      <c r="F30" s="22">
        <f t="shared" si="0"/>
        <v>52139.489805159981</v>
      </c>
      <c r="G30" s="23">
        <f t="shared" si="3"/>
        <v>52139.489805159981</v>
      </c>
      <c r="H30" s="24">
        <f t="shared" si="2"/>
        <v>0</v>
      </c>
      <c r="I30" s="25"/>
      <c r="J30" s="25"/>
      <c r="K30" s="2"/>
      <c r="L30" s="1"/>
      <c r="M30" s="105"/>
      <c r="N30" s="105"/>
    </row>
    <row r="31" spans="2:14" ht="122.25" customHeight="1">
      <c r="B31" s="27" t="s">
        <v>87</v>
      </c>
      <c r="C31" s="5" t="s">
        <v>96</v>
      </c>
      <c r="D31" s="20" t="s">
        <v>83</v>
      </c>
      <c r="E31" s="6">
        <v>0.3</v>
      </c>
      <c r="F31" s="22">
        <f t="shared" si="0"/>
        <v>2181.5686110945599</v>
      </c>
      <c r="G31" s="23">
        <f t="shared" ref="G31" si="4">$N$24/$N$25*E31</f>
        <v>2181.5686110945599</v>
      </c>
      <c r="H31" s="24">
        <f t="shared" si="2"/>
        <v>0</v>
      </c>
      <c r="I31" s="25"/>
      <c r="J31" s="25"/>
    </row>
    <row r="32" spans="2:14" ht="56.25">
      <c r="B32" s="28" t="s">
        <v>88</v>
      </c>
      <c r="C32" s="5" t="s">
        <v>96</v>
      </c>
      <c r="D32" s="20" t="s">
        <v>83</v>
      </c>
      <c r="E32" s="6">
        <v>4</v>
      </c>
      <c r="F32" s="22">
        <v>29092.78</v>
      </c>
      <c r="G32" s="4">
        <v>12461</v>
      </c>
      <c r="H32" s="24">
        <f>F32-G32</f>
        <v>16631.78</v>
      </c>
      <c r="I32" s="25"/>
      <c r="J32" s="25"/>
      <c r="L32" s="10"/>
    </row>
    <row r="33" spans="2:14" ht="16.5" thickBot="1">
      <c r="B33" s="31" t="s">
        <v>73</v>
      </c>
      <c r="C33" s="32" t="s">
        <v>86</v>
      </c>
      <c r="D33" s="33" t="s">
        <v>83</v>
      </c>
      <c r="E33" s="34">
        <v>1.073</v>
      </c>
      <c r="F33" s="22">
        <f t="shared" si="0"/>
        <v>7802.7437323482081</v>
      </c>
      <c r="G33" s="23">
        <f t="shared" ref="G33" si="5">$N$24/$N$25*E33</f>
        <v>7802.7437323482081</v>
      </c>
      <c r="H33" s="35">
        <f>F33-G33</f>
        <v>0</v>
      </c>
      <c r="I33" s="25"/>
      <c r="J33" s="25"/>
    </row>
    <row r="34" spans="2:14" ht="16.5" thickBot="1">
      <c r="B34" s="36" t="s">
        <v>74</v>
      </c>
      <c r="C34" s="37"/>
      <c r="D34" s="37"/>
      <c r="E34" s="38">
        <f>SUM(E25:E33)</f>
        <v>20.783000000000001</v>
      </c>
      <c r="F34" s="39">
        <f>SUM(F25:F33)</f>
        <v>151136.99999999997</v>
      </c>
      <c r="G34" s="40">
        <f>SUM(G25:G33)</f>
        <v>134505.21999999997</v>
      </c>
      <c r="H34" s="41">
        <f>SUM(H25:H33)</f>
        <v>16631.78</v>
      </c>
      <c r="I34" s="42"/>
      <c r="J34" s="42"/>
    </row>
    <row r="35" spans="2:14">
      <c r="B35" s="10"/>
      <c r="C35" s="10"/>
      <c r="D35" s="10"/>
      <c r="E35" s="132"/>
      <c r="F35" s="132"/>
      <c r="G35" s="132"/>
      <c r="H35" s="133"/>
      <c r="I35" s="133"/>
      <c r="J35" s="133"/>
    </row>
    <row r="36" spans="2:14" ht="16.5" customHeight="1" thickBot="1">
      <c r="B36" s="192" t="s">
        <v>135</v>
      </c>
      <c r="C36" s="192"/>
      <c r="D36" s="192"/>
      <c r="E36" s="192"/>
      <c r="F36" s="192"/>
      <c r="G36" s="192"/>
      <c r="H36" s="192"/>
      <c r="I36" s="43"/>
      <c r="J36" s="43"/>
    </row>
    <row r="37" spans="2:14" ht="44.25" customHeight="1" thickBot="1">
      <c r="B37" s="88" t="s">
        <v>136</v>
      </c>
      <c r="C37" s="135" t="s">
        <v>89</v>
      </c>
      <c r="D37" s="136"/>
      <c r="E37" s="147" t="s">
        <v>10</v>
      </c>
      <c r="F37" s="148"/>
      <c r="G37" s="147" t="s">
        <v>11</v>
      </c>
      <c r="H37" s="163"/>
      <c r="I37" s="44"/>
      <c r="J37" s="44"/>
      <c r="K37" s="45"/>
      <c r="L37" s="46"/>
      <c r="M37" s="106"/>
      <c r="N37" s="106"/>
    </row>
    <row r="38" spans="2:14">
      <c r="B38" s="89" t="s">
        <v>12</v>
      </c>
      <c r="C38" s="137">
        <f>E38+G38</f>
        <v>1359598.22</v>
      </c>
      <c r="D38" s="138"/>
      <c r="E38" s="173">
        <f>F26+F27+F28+F29+F30+F31+F33+E16+F25</f>
        <v>1079095.03</v>
      </c>
      <c r="F38" s="174"/>
      <c r="G38" s="173">
        <f>F32+G16</f>
        <v>280503.18999999994</v>
      </c>
      <c r="H38" s="175"/>
      <c r="I38" s="48"/>
      <c r="J38" s="48"/>
      <c r="K38" s="7"/>
      <c r="L38" s="7"/>
      <c r="M38" s="107"/>
    </row>
    <row r="39" spans="2:14">
      <c r="B39" s="47" t="s">
        <v>13</v>
      </c>
      <c r="C39" s="142">
        <f>E39+G39</f>
        <v>1251345.6499999999</v>
      </c>
      <c r="D39" s="143"/>
      <c r="E39" s="142">
        <f>E17+110074.45</f>
        <v>993389.26999999979</v>
      </c>
      <c r="F39" s="143"/>
      <c r="G39" s="142">
        <f>G17+26239.44</f>
        <v>257956.38</v>
      </c>
      <c r="H39" s="144"/>
      <c r="I39" s="48"/>
      <c r="J39" s="48"/>
      <c r="K39" s="9"/>
      <c r="L39" s="7"/>
      <c r="M39" s="107"/>
    </row>
    <row r="40" spans="2:14">
      <c r="B40" s="49" t="s">
        <v>63</v>
      </c>
      <c r="C40" s="142">
        <f>E40+G40</f>
        <v>1343704.4380000001</v>
      </c>
      <c r="D40" s="143"/>
      <c r="E40" s="170">
        <f>G26+G27+G28+G29+G30+G31+G33+E18+G25</f>
        <v>1102164.4380000001</v>
      </c>
      <c r="F40" s="171"/>
      <c r="G40" s="170">
        <f>G32+G18</f>
        <v>241540</v>
      </c>
      <c r="H40" s="172"/>
      <c r="I40" s="48"/>
      <c r="J40" s="48"/>
      <c r="K40" s="50"/>
      <c r="L40" s="50"/>
    </row>
    <row r="41" spans="2:14" ht="16.5" thickBot="1">
      <c r="B41" s="59" t="s">
        <v>114</v>
      </c>
      <c r="C41" s="145">
        <f>E41+G41</f>
        <v>36000</v>
      </c>
      <c r="D41" s="146"/>
      <c r="E41" s="145">
        <f>E19+3600</f>
        <v>36000</v>
      </c>
      <c r="F41" s="146"/>
      <c r="G41" s="145">
        <f>G19</f>
        <v>0</v>
      </c>
      <c r="H41" s="160"/>
      <c r="I41" s="48"/>
      <c r="J41" s="48"/>
      <c r="K41" s="50"/>
      <c r="L41" s="50"/>
    </row>
    <row r="42" spans="2:14" ht="29.25" customHeight="1" thickBot="1">
      <c r="B42" s="11" t="s">
        <v>116</v>
      </c>
      <c r="C42" s="161">
        <f>E42+G42</f>
        <v>-56358.788000000292</v>
      </c>
      <c r="D42" s="162"/>
      <c r="E42" s="139">
        <f>E39+E41-E40</f>
        <v>-72775.168000000296</v>
      </c>
      <c r="F42" s="140"/>
      <c r="G42" s="139">
        <f>G39-G40</f>
        <v>16416.380000000005</v>
      </c>
      <c r="H42" s="141"/>
      <c r="I42" s="48"/>
      <c r="J42" s="48"/>
      <c r="K42" s="50"/>
      <c r="L42" s="50"/>
    </row>
    <row r="43" spans="2:14" ht="34.5" customHeight="1">
      <c r="B43" s="124" t="s">
        <v>64</v>
      </c>
      <c r="C43" s="167" t="s">
        <v>121</v>
      </c>
      <c r="D43" s="167"/>
      <c r="E43" s="167"/>
      <c r="F43" s="165" t="s">
        <v>126</v>
      </c>
      <c r="G43" s="165"/>
      <c r="H43" s="124"/>
      <c r="I43" s="124"/>
      <c r="J43" s="124"/>
      <c r="K43" s="2"/>
      <c r="L43" s="2"/>
      <c r="M43" s="105"/>
      <c r="N43" s="105"/>
    </row>
    <row r="44" spans="2:14" ht="11.25" customHeight="1">
      <c r="B44" s="124"/>
      <c r="C44" s="124"/>
      <c r="D44" s="124"/>
      <c r="E44" s="125"/>
      <c r="F44" s="166"/>
      <c r="G44" s="166"/>
      <c r="H44" s="126"/>
      <c r="I44" s="126"/>
      <c r="J44" s="126"/>
      <c r="K44" s="2"/>
      <c r="L44" s="2"/>
      <c r="M44" s="105"/>
      <c r="N44" s="105"/>
    </row>
    <row r="45" spans="2:14">
      <c r="B45" s="124" t="s">
        <v>65</v>
      </c>
      <c r="C45" s="167" t="s">
        <v>121</v>
      </c>
      <c r="D45" s="167"/>
      <c r="E45" s="167"/>
      <c r="F45" s="165" t="s">
        <v>76</v>
      </c>
      <c r="G45" s="165"/>
      <c r="H45" s="124"/>
      <c r="I45" s="124"/>
      <c r="J45" s="124"/>
      <c r="K45" s="2"/>
      <c r="L45" s="2"/>
      <c r="M45" s="105"/>
      <c r="N45" s="105"/>
    </row>
    <row r="46" spans="2:14" ht="9.75" customHeight="1">
      <c r="B46" s="124"/>
      <c r="C46" s="124"/>
      <c r="D46" s="124"/>
      <c r="E46" s="125"/>
      <c r="F46" s="165"/>
      <c r="G46" s="165"/>
      <c r="H46" s="124"/>
      <c r="I46" s="124"/>
      <c r="J46" s="124"/>
    </row>
    <row r="47" spans="2:14">
      <c r="B47" s="124" t="s">
        <v>66</v>
      </c>
      <c r="C47" s="167" t="s">
        <v>121</v>
      </c>
      <c r="D47" s="167"/>
      <c r="E47" s="167"/>
      <c r="F47" s="165" t="s">
        <v>127</v>
      </c>
      <c r="G47" s="165"/>
      <c r="H47" s="124"/>
      <c r="I47" s="124"/>
      <c r="J47" s="124"/>
    </row>
    <row r="48" spans="2:14" ht="8.25" customHeight="1">
      <c r="B48" s="51"/>
      <c r="C48" s="51"/>
      <c r="D48" s="51"/>
      <c r="E48" s="125"/>
      <c r="F48" s="52"/>
      <c r="G48" s="53"/>
      <c r="H48" s="54"/>
      <c r="I48" s="54"/>
      <c r="J48" s="54"/>
    </row>
    <row r="49" spans="2:7">
      <c r="B49" s="124" t="s">
        <v>67</v>
      </c>
      <c r="C49" s="167" t="s">
        <v>121</v>
      </c>
      <c r="D49" s="167"/>
      <c r="E49" s="167"/>
      <c r="F49" s="165" t="s">
        <v>127</v>
      </c>
      <c r="G49" s="165"/>
    </row>
    <row r="50" spans="2:7" ht="9" customHeight="1">
      <c r="B50" s="55"/>
      <c r="C50" s="55"/>
      <c r="D50" s="55"/>
      <c r="E50" s="125"/>
      <c r="F50" s="164"/>
      <c r="G50" s="164"/>
    </row>
  </sheetData>
  <mergeCells count="61">
    <mergeCell ref="C49:E49"/>
    <mergeCell ref="C41:D41"/>
    <mergeCell ref="C42:D42"/>
    <mergeCell ref="C20:D20"/>
    <mergeCell ref="E20:F20"/>
    <mergeCell ref="B36:H36"/>
    <mergeCell ref="E37:F37"/>
    <mergeCell ref="G37:H37"/>
    <mergeCell ref="G38:H38"/>
    <mergeCell ref="C47:E47"/>
    <mergeCell ref="E42:F42"/>
    <mergeCell ref="E38:F38"/>
    <mergeCell ref="C37:D37"/>
    <mergeCell ref="C38:D38"/>
    <mergeCell ref="C39:D39"/>
    <mergeCell ref="C40:D40"/>
    <mergeCell ref="N22:N23"/>
    <mergeCell ref="C18:D18"/>
    <mergeCell ref="E18:F18"/>
    <mergeCell ref="G18:H18"/>
    <mergeCell ref="C19:D19"/>
    <mergeCell ref="E19:F19"/>
    <mergeCell ref="G19:H19"/>
    <mergeCell ref="G20:H20"/>
    <mergeCell ref="G16:H16"/>
    <mergeCell ref="C17:D17"/>
    <mergeCell ref="E17:F17"/>
    <mergeCell ref="G17:H17"/>
    <mergeCell ref="M22:M23"/>
    <mergeCell ref="F50:G50"/>
    <mergeCell ref="F46:G46"/>
    <mergeCell ref="E39:F39"/>
    <mergeCell ref="F47:G47"/>
    <mergeCell ref="E40:F40"/>
    <mergeCell ref="E41:F41"/>
    <mergeCell ref="F49:G49"/>
    <mergeCell ref="F43:G43"/>
    <mergeCell ref="F44:G44"/>
    <mergeCell ref="F45:G45"/>
    <mergeCell ref="G39:H39"/>
    <mergeCell ref="G40:H40"/>
    <mergeCell ref="G42:H42"/>
    <mergeCell ref="G41:H41"/>
    <mergeCell ref="C43:E43"/>
    <mergeCell ref="C45:E45"/>
    <mergeCell ref="B1:H1"/>
    <mergeCell ref="B22:H22"/>
    <mergeCell ref="B23:B24"/>
    <mergeCell ref="C23:C24"/>
    <mergeCell ref="D23:D24"/>
    <mergeCell ref="E23:E24"/>
    <mergeCell ref="F23:G23"/>
    <mergeCell ref="H23:H24"/>
    <mergeCell ref="B2:H3"/>
    <mergeCell ref="D5:E5"/>
    <mergeCell ref="B14:H14"/>
    <mergeCell ref="C15:D15"/>
    <mergeCell ref="E15:F15"/>
    <mergeCell ref="G15:H15"/>
    <mergeCell ref="C16:D16"/>
    <mergeCell ref="E16:F16"/>
  </mergeCells>
  <printOptions horizontalCentered="1"/>
  <pageMargins left="0.19685039370078741" right="0.19685039370078741" top="0.15748031496062992" bottom="0.23622047244094491" header="0.31496062992125984" footer="0.31496062992125984"/>
  <pageSetup paperSize="9"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57"/>
  <sheetViews>
    <sheetView topLeftCell="A30" zoomScale="110" zoomScaleNormal="110" workbookViewId="0">
      <selection activeCell="B1" sqref="B1:H46"/>
    </sheetView>
  </sheetViews>
  <sheetFormatPr defaultColWidth="9.140625" defaultRowHeight="15.75" outlineLevelRow="1"/>
  <cols>
    <col min="1" max="1" width="2.85546875" style="3" customWidth="1"/>
    <col min="2" max="2" width="60.7109375" style="3" customWidth="1"/>
    <col min="3" max="3" width="22.140625" style="132" customWidth="1"/>
    <col min="4" max="4" width="8.42578125" style="133" customWidth="1"/>
    <col min="5" max="5" width="10.28515625" style="133" customWidth="1"/>
    <col min="6" max="6" width="10" style="3" customWidth="1"/>
    <col min="7" max="7" width="10.28515625" style="3" customWidth="1"/>
    <col min="8" max="8" width="10.7109375" style="3" customWidth="1"/>
    <col min="9" max="9" width="12.28515625" style="3" customWidth="1"/>
    <col min="10" max="12" width="9.140625" style="3"/>
    <col min="13" max="13" width="13.28515625" style="102" customWidth="1"/>
    <col min="14" max="14" width="15.85546875" style="102" customWidth="1"/>
    <col min="15" max="16384" width="9.140625" style="3"/>
  </cols>
  <sheetData>
    <row r="1" spans="1:9">
      <c r="B1" s="150" t="s">
        <v>91</v>
      </c>
      <c r="C1" s="150"/>
      <c r="D1" s="150"/>
      <c r="E1" s="150"/>
      <c r="F1" s="150"/>
      <c r="G1" s="150"/>
      <c r="H1" s="150"/>
    </row>
    <row r="2" spans="1:9" ht="19.5" customHeight="1">
      <c r="A2" s="12"/>
      <c r="B2" s="200" t="s">
        <v>137</v>
      </c>
      <c r="C2" s="200"/>
      <c r="D2" s="200"/>
      <c r="E2" s="200"/>
      <c r="F2" s="200"/>
      <c r="G2" s="200"/>
      <c r="H2" s="200"/>
    </row>
    <row r="3" spans="1:9" ht="20.25" customHeight="1">
      <c r="A3" s="12"/>
      <c r="B3" s="200"/>
      <c r="C3" s="200"/>
      <c r="D3" s="200"/>
      <c r="E3" s="200"/>
      <c r="F3" s="200"/>
      <c r="G3" s="200"/>
      <c r="H3" s="200"/>
    </row>
    <row r="4" spans="1:9" ht="5.25" customHeight="1">
      <c r="B4" s="75"/>
    </row>
    <row r="5" spans="1:9">
      <c r="B5" s="3" t="s">
        <v>0</v>
      </c>
      <c r="D5" s="97" t="s">
        <v>44</v>
      </c>
      <c r="E5" s="97"/>
    </row>
    <row r="6" spans="1:9">
      <c r="B6" s="3" t="s">
        <v>1</v>
      </c>
      <c r="D6" s="128">
        <v>1956</v>
      </c>
      <c r="E6" s="128"/>
    </row>
    <row r="7" spans="1:9" hidden="1" outlineLevel="1">
      <c r="B7" s="3" t="s">
        <v>2</v>
      </c>
      <c r="D7" s="128">
        <v>2</v>
      </c>
      <c r="E7" s="128"/>
    </row>
    <row r="8" spans="1:9" hidden="1" outlineLevel="1">
      <c r="B8" s="3" t="s">
        <v>3</v>
      </c>
      <c r="D8" s="128">
        <v>13</v>
      </c>
      <c r="E8" s="128"/>
    </row>
    <row r="9" spans="1:9" ht="30.75" hidden="1" customHeight="1" outlineLevel="1">
      <c r="B9" s="13" t="s">
        <v>4</v>
      </c>
      <c r="C9" s="14"/>
      <c r="D9" s="128" t="s">
        <v>45</v>
      </c>
      <c r="E9" s="128"/>
    </row>
    <row r="10" spans="1:9" collapsed="1">
      <c r="B10" s="3" t="s">
        <v>5</v>
      </c>
      <c r="D10" s="128" t="s">
        <v>108</v>
      </c>
      <c r="E10" s="128"/>
      <c r="I10" s="10"/>
    </row>
    <row r="11" spans="1:9" hidden="1" outlineLevel="1">
      <c r="B11" s="3" t="s">
        <v>6</v>
      </c>
      <c r="D11" s="128" t="s">
        <v>7</v>
      </c>
      <c r="E11" s="128"/>
    </row>
    <row r="12" spans="1:9" ht="30.75" hidden="1" customHeight="1" outlineLevel="1">
      <c r="B12" s="13" t="s">
        <v>8</v>
      </c>
      <c r="C12" s="14"/>
      <c r="D12" s="101" t="s">
        <v>46</v>
      </c>
      <c r="E12" s="128"/>
      <c r="I12" s="10"/>
    </row>
    <row r="13" spans="1:9" ht="16.5" collapsed="1" thickBot="1">
      <c r="B13" s="192" t="s">
        <v>129</v>
      </c>
      <c r="C13" s="192"/>
      <c r="D13" s="192"/>
      <c r="E13" s="192"/>
      <c r="F13" s="192"/>
      <c r="G13" s="192"/>
      <c r="H13" s="192"/>
      <c r="I13" s="10"/>
    </row>
    <row r="14" spans="1:9" ht="43.5" customHeight="1" thickBot="1">
      <c r="B14" s="88" t="s">
        <v>130</v>
      </c>
      <c r="C14" s="135" t="s">
        <v>89</v>
      </c>
      <c r="D14" s="136"/>
      <c r="E14" s="147" t="s">
        <v>10</v>
      </c>
      <c r="F14" s="148"/>
      <c r="G14" s="147" t="s">
        <v>11</v>
      </c>
      <c r="H14" s="163"/>
      <c r="I14" s="10"/>
    </row>
    <row r="15" spans="1:9">
      <c r="B15" s="89" t="s">
        <v>12</v>
      </c>
      <c r="C15" s="137">
        <v>1211738.7653377177</v>
      </c>
      <c r="D15" s="176"/>
      <c r="E15" s="173">
        <v>870001.50533771771</v>
      </c>
      <c r="F15" s="174"/>
      <c r="G15" s="173">
        <v>341737.26</v>
      </c>
      <c r="H15" s="175"/>
      <c r="I15" s="10"/>
    </row>
    <row r="16" spans="1:9">
      <c r="B16" s="47" t="s">
        <v>13</v>
      </c>
      <c r="C16" s="142">
        <v>940730.58000000007</v>
      </c>
      <c r="D16" s="177"/>
      <c r="E16" s="142">
        <v>675759.44000000006</v>
      </c>
      <c r="F16" s="143"/>
      <c r="G16" s="142">
        <v>264971.14</v>
      </c>
      <c r="H16" s="144"/>
      <c r="I16" s="10"/>
    </row>
    <row r="17" spans="2:14" ht="16.5" thickBot="1">
      <c r="B17" s="49" t="s">
        <v>63</v>
      </c>
      <c r="C17" s="145">
        <v>1085031.4707490997</v>
      </c>
      <c r="D17" s="178"/>
      <c r="E17" s="170">
        <v>872767.47074909974</v>
      </c>
      <c r="F17" s="171"/>
      <c r="G17" s="170">
        <v>212264</v>
      </c>
      <c r="H17" s="172"/>
      <c r="I17" s="10"/>
    </row>
    <row r="18" spans="2:14" ht="30" customHeight="1" thickBot="1">
      <c r="B18" s="11" t="s">
        <v>115</v>
      </c>
      <c r="C18" s="161">
        <f>E18+G18</f>
        <v>-144300.89074909966</v>
      </c>
      <c r="D18" s="162"/>
      <c r="E18" s="139">
        <f>E16-E17</f>
        <v>-197008.03074909968</v>
      </c>
      <c r="F18" s="140"/>
      <c r="G18" s="139">
        <f>G16-G17</f>
        <v>52707.140000000014</v>
      </c>
      <c r="H18" s="141"/>
      <c r="I18" s="10"/>
    </row>
    <row r="19" spans="2:14" ht="12" customHeight="1">
      <c r="B19" s="13"/>
      <c r="C19" s="14"/>
      <c r="D19" s="101"/>
      <c r="E19" s="128"/>
      <c r="I19" s="10"/>
    </row>
    <row r="20" spans="2:14" ht="20.25" customHeight="1" thickBot="1">
      <c r="B20" s="208" t="s">
        <v>133</v>
      </c>
      <c r="C20" s="208"/>
      <c r="D20" s="208"/>
      <c r="E20" s="208"/>
      <c r="F20" s="208"/>
      <c r="G20" s="208"/>
      <c r="H20" s="208"/>
      <c r="I20" s="15"/>
      <c r="J20" s="15"/>
      <c r="L20" s="10"/>
      <c r="M20" s="168" t="s">
        <v>117</v>
      </c>
      <c r="N20" s="168" t="s">
        <v>118</v>
      </c>
    </row>
    <row r="21" spans="2:14" ht="27.75" customHeight="1">
      <c r="B21" s="151" t="s">
        <v>77</v>
      </c>
      <c r="C21" s="153" t="s">
        <v>78</v>
      </c>
      <c r="D21" s="153" t="s">
        <v>79</v>
      </c>
      <c r="E21" s="195" t="s">
        <v>134</v>
      </c>
      <c r="F21" s="155" t="s">
        <v>80</v>
      </c>
      <c r="G21" s="156"/>
      <c r="H21" s="157" t="s">
        <v>98</v>
      </c>
      <c r="I21" s="16"/>
      <c r="J21" s="16"/>
      <c r="L21" s="10"/>
      <c r="M21" s="169"/>
      <c r="N21" s="169"/>
    </row>
    <row r="22" spans="2:14" ht="45" customHeight="1" thickBot="1">
      <c r="B22" s="152"/>
      <c r="C22" s="154"/>
      <c r="D22" s="154"/>
      <c r="E22" s="196"/>
      <c r="F22" s="17" t="s">
        <v>68</v>
      </c>
      <c r="G22" s="18" t="s">
        <v>69</v>
      </c>
      <c r="H22" s="158"/>
      <c r="I22" s="16"/>
      <c r="J22" s="16"/>
      <c r="M22" s="103">
        <v>130385.17</v>
      </c>
      <c r="N22" s="103">
        <f>M22</f>
        <v>130385.17</v>
      </c>
    </row>
    <row r="23" spans="2:14" ht="50.25" customHeight="1">
      <c r="B23" s="19" t="s">
        <v>81</v>
      </c>
      <c r="C23" s="5" t="s">
        <v>96</v>
      </c>
      <c r="D23" s="20" t="s">
        <v>83</v>
      </c>
      <c r="E23" s="21">
        <v>3.42</v>
      </c>
      <c r="F23" s="22">
        <f>$M$22/$M$23*E23</f>
        <v>24759.427062742918</v>
      </c>
      <c r="G23" s="23">
        <f>$N$22/$N$23*E23</f>
        <v>24759.427062742918</v>
      </c>
      <c r="H23" s="24">
        <f>F23-G23</f>
        <v>0</v>
      </c>
      <c r="I23" s="25"/>
      <c r="J23" s="25"/>
      <c r="K23" s="130"/>
      <c r="L23" s="26"/>
      <c r="M23" s="104">
        <f>E32-E30</f>
        <v>18.010000000000002</v>
      </c>
      <c r="N23" s="104">
        <f>E32-E30</f>
        <v>18.010000000000002</v>
      </c>
    </row>
    <row r="24" spans="2:14" ht="56.25">
      <c r="B24" s="27" t="s">
        <v>75</v>
      </c>
      <c r="C24" s="5" t="s">
        <v>96</v>
      </c>
      <c r="D24" s="20" t="s">
        <v>83</v>
      </c>
      <c r="E24" s="6">
        <v>3.8</v>
      </c>
      <c r="F24" s="22">
        <f t="shared" ref="F24:F31" si="0">$M$22/$M$23*E24</f>
        <v>27510.474514158799</v>
      </c>
      <c r="G24" s="23">
        <f t="shared" ref="G24:G28" si="1">$N$22/$N$23*E24</f>
        <v>27510.474514158799</v>
      </c>
      <c r="H24" s="24">
        <f t="shared" ref="H24:H29" si="2">F24-G24</f>
        <v>0</v>
      </c>
      <c r="I24" s="25"/>
      <c r="J24" s="25"/>
      <c r="K24" s="2"/>
      <c r="L24" s="2"/>
      <c r="M24" s="105"/>
      <c r="N24" s="105"/>
    </row>
    <row r="25" spans="2:14" ht="52.5" customHeight="1">
      <c r="B25" s="28" t="s">
        <v>70</v>
      </c>
      <c r="C25" s="5" t="s">
        <v>96</v>
      </c>
      <c r="D25" s="20" t="s">
        <v>83</v>
      </c>
      <c r="E25" s="6">
        <v>0.35</v>
      </c>
      <c r="F25" s="22">
        <f t="shared" si="0"/>
        <v>2533.8594947251522</v>
      </c>
      <c r="G25" s="23">
        <f t="shared" si="1"/>
        <v>2533.8594947251522</v>
      </c>
      <c r="H25" s="24">
        <f t="shared" si="2"/>
        <v>0</v>
      </c>
      <c r="I25" s="25"/>
      <c r="J25" s="25"/>
      <c r="L25" s="10"/>
    </row>
    <row r="26" spans="2:14" ht="25.5">
      <c r="B26" s="28" t="s">
        <v>84</v>
      </c>
      <c r="C26" s="29" t="s">
        <v>85</v>
      </c>
      <c r="D26" s="20" t="s">
        <v>83</v>
      </c>
      <c r="E26" s="6">
        <v>0</v>
      </c>
      <c r="F26" s="22">
        <f>($M$22/12*2)/$M$23*E26</f>
        <v>0</v>
      </c>
      <c r="G26" s="23">
        <f>($N$22/12*2)/$N$23*E26</f>
        <v>0</v>
      </c>
      <c r="H26" s="24">
        <f t="shared" si="2"/>
        <v>0</v>
      </c>
      <c r="I26" s="25"/>
      <c r="J26" s="25"/>
      <c r="L26" s="10"/>
    </row>
    <row r="27" spans="2:14" ht="51">
      <c r="B27" s="27" t="s">
        <v>71</v>
      </c>
      <c r="C27" s="5" t="s">
        <v>97</v>
      </c>
      <c r="D27" s="20" t="s">
        <v>83</v>
      </c>
      <c r="E27" s="6">
        <v>1.64</v>
      </c>
      <c r="F27" s="22">
        <f t="shared" si="0"/>
        <v>11872.941632426428</v>
      </c>
      <c r="G27" s="23">
        <f t="shared" si="1"/>
        <v>11872.941632426428</v>
      </c>
      <c r="H27" s="24">
        <f t="shared" si="2"/>
        <v>0</v>
      </c>
      <c r="I27" s="25"/>
      <c r="J27" s="25"/>
    </row>
    <row r="28" spans="2:14" ht="213.75" customHeight="1">
      <c r="B28" s="27" t="s">
        <v>95</v>
      </c>
      <c r="C28" s="30" t="s">
        <v>86</v>
      </c>
      <c r="D28" s="20" t="s">
        <v>83</v>
      </c>
      <c r="E28" s="6">
        <v>7.17</v>
      </c>
      <c r="F28" s="22">
        <f t="shared" si="0"/>
        <v>51907.921649083837</v>
      </c>
      <c r="G28" s="23">
        <f t="shared" si="1"/>
        <v>51907.921649083837</v>
      </c>
      <c r="H28" s="24">
        <f t="shared" si="2"/>
        <v>0</v>
      </c>
      <c r="I28" s="25"/>
      <c r="J28" s="25"/>
      <c r="K28" s="2"/>
      <c r="L28" s="1"/>
      <c r="M28" s="105"/>
      <c r="N28" s="105"/>
    </row>
    <row r="29" spans="2:14" ht="108.75" customHeight="1">
      <c r="B29" s="27" t="s">
        <v>87</v>
      </c>
      <c r="C29" s="5" t="s">
        <v>96</v>
      </c>
      <c r="D29" s="20" t="s">
        <v>83</v>
      </c>
      <c r="E29" s="6">
        <v>0.3</v>
      </c>
      <c r="F29" s="22">
        <f t="shared" si="0"/>
        <v>2171.8795669072733</v>
      </c>
      <c r="G29" s="23">
        <f t="shared" ref="G29" si="3">$N$22/$N$23*E29</f>
        <v>2171.8795669072733</v>
      </c>
      <c r="H29" s="24">
        <f t="shared" si="2"/>
        <v>0</v>
      </c>
      <c r="I29" s="25"/>
      <c r="J29" s="25"/>
    </row>
    <row r="30" spans="2:14" ht="56.25">
      <c r="B30" s="28" t="s">
        <v>88</v>
      </c>
      <c r="C30" s="5" t="s">
        <v>96</v>
      </c>
      <c r="D30" s="20" t="s">
        <v>83</v>
      </c>
      <c r="E30" s="6">
        <v>4.2</v>
      </c>
      <c r="F30" s="22">
        <v>30406.31</v>
      </c>
      <c r="G30" s="4"/>
      <c r="H30" s="24">
        <f>F30-G30</f>
        <v>30406.31</v>
      </c>
      <c r="I30" s="25"/>
      <c r="J30" s="25"/>
      <c r="L30" s="10"/>
    </row>
    <row r="31" spans="2:14" ht="16.5" thickBot="1">
      <c r="B31" s="31" t="s">
        <v>73</v>
      </c>
      <c r="C31" s="32" t="s">
        <v>86</v>
      </c>
      <c r="D31" s="33" t="s">
        <v>83</v>
      </c>
      <c r="E31" s="34">
        <v>1.33</v>
      </c>
      <c r="F31" s="22">
        <f t="shared" si="0"/>
        <v>9628.6660799555793</v>
      </c>
      <c r="G31" s="23">
        <f t="shared" ref="G31" si="4">$N$22/$N$23*E31</f>
        <v>9628.6660799555793</v>
      </c>
      <c r="H31" s="35">
        <f>F31-G31</f>
        <v>0</v>
      </c>
      <c r="I31" s="25"/>
      <c r="J31" s="25"/>
    </row>
    <row r="32" spans="2:14" ht="16.5" thickBot="1">
      <c r="B32" s="36" t="s">
        <v>74</v>
      </c>
      <c r="C32" s="37"/>
      <c r="D32" s="37"/>
      <c r="E32" s="38">
        <f>SUM(E23:E31)</f>
        <v>22.21</v>
      </c>
      <c r="F32" s="39">
        <f>SUM(F23:F31)</f>
        <v>160791.47999999998</v>
      </c>
      <c r="G32" s="40">
        <f>SUM(G23:G31)</f>
        <v>130385.16999999998</v>
      </c>
      <c r="H32" s="41">
        <f>SUM(H23:H31)</f>
        <v>30406.31</v>
      </c>
      <c r="I32" s="42"/>
      <c r="J32" s="42"/>
    </row>
    <row r="33" spans="2:14">
      <c r="B33" s="10"/>
      <c r="C33" s="10"/>
      <c r="D33" s="10"/>
      <c r="E33" s="132"/>
      <c r="F33" s="132"/>
      <c r="G33" s="132"/>
      <c r="H33" s="133"/>
      <c r="I33" s="133"/>
      <c r="J33" s="133"/>
    </row>
    <row r="34" spans="2:14" ht="16.5" customHeight="1" thickBot="1">
      <c r="B34" s="192" t="s">
        <v>135</v>
      </c>
      <c r="C34" s="192"/>
      <c r="D34" s="192"/>
      <c r="E34" s="192"/>
      <c r="F34" s="192"/>
      <c r="G34" s="192"/>
      <c r="H34" s="192"/>
      <c r="I34" s="43"/>
      <c r="J34" s="43"/>
    </row>
    <row r="35" spans="2:14" ht="44.25" customHeight="1" thickBot="1">
      <c r="B35" s="88" t="s">
        <v>136</v>
      </c>
      <c r="C35" s="135" t="s">
        <v>89</v>
      </c>
      <c r="D35" s="136"/>
      <c r="E35" s="147" t="s">
        <v>10</v>
      </c>
      <c r="F35" s="148"/>
      <c r="G35" s="147" t="s">
        <v>11</v>
      </c>
      <c r="H35" s="163"/>
      <c r="I35" s="44"/>
      <c r="J35" s="44"/>
      <c r="K35" s="45"/>
      <c r="L35" s="46"/>
      <c r="M35" s="106"/>
      <c r="N35" s="106"/>
    </row>
    <row r="36" spans="2:14">
      <c r="B36" s="89" t="s">
        <v>12</v>
      </c>
      <c r="C36" s="137">
        <f>E36+G36</f>
        <v>1372530.2453377177</v>
      </c>
      <c r="D36" s="138"/>
      <c r="E36" s="173">
        <f>F23+F24+F25+F26+F27+F28+F29+F31+E15</f>
        <v>1000386.6753377176</v>
      </c>
      <c r="F36" s="174"/>
      <c r="G36" s="173">
        <f>F30+G15</f>
        <v>372143.57</v>
      </c>
      <c r="H36" s="175"/>
      <c r="I36" s="48"/>
      <c r="J36" s="48"/>
      <c r="K36" s="7"/>
      <c r="L36" s="7"/>
      <c r="M36" s="107"/>
    </row>
    <row r="37" spans="2:14">
      <c r="B37" s="47" t="s">
        <v>13</v>
      </c>
      <c r="C37" s="142">
        <f>E37+G37</f>
        <v>1052908.3500000001</v>
      </c>
      <c r="D37" s="143"/>
      <c r="E37" s="142">
        <f>E16+90964.5</f>
        <v>766723.94000000006</v>
      </c>
      <c r="F37" s="143"/>
      <c r="G37" s="142">
        <f>G16+21213.27</f>
        <v>286184.41000000003</v>
      </c>
      <c r="H37" s="144"/>
      <c r="I37" s="48"/>
      <c r="J37" s="48"/>
      <c r="K37" s="9"/>
      <c r="L37" s="7"/>
      <c r="M37" s="107"/>
    </row>
    <row r="38" spans="2:14" ht="16.5" thickBot="1">
      <c r="B38" s="49" t="s">
        <v>63</v>
      </c>
      <c r="C38" s="145">
        <f>E38+G38</f>
        <v>1215416.6407490997</v>
      </c>
      <c r="D38" s="146"/>
      <c r="E38" s="170">
        <f>G23+G24+G25+G26+G27+G28+G29+G31+E17</f>
        <v>1003152.6407490997</v>
      </c>
      <c r="F38" s="171"/>
      <c r="G38" s="170">
        <f>G30+G17</f>
        <v>212264</v>
      </c>
      <c r="H38" s="172"/>
      <c r="I38" s="48"/>
      <c r="J38" s="48"/>
      <c r="K38" s="50"/>
      <c r="L38" s="50"/>
    </row>
    <row r="39" spans="2:14" ht="30" customHeight="1" thickBot="1">
      <c r="B39" s="11" t="s">
        <v>116</v>
      </c>
      <c r="C39" s="161">
        <f>E39+G39</f>
        <v>-162508.29074909957</v>
      </c>
      <c r="D39" s="162"/>
      <c r="E39" s="139">
        <f>E37-E38</f>
        <v>-236428.7007490996</v>
      </c>
      <c r="F39" s="140"/>
      <c r="G39" s="139">
        <f>G37-G38</f>
        <v>73920.410000000033</v>
      </c>
      <c r="H39" s="141"/>
      <c r="I39" s="48"/>
      <c r="J39" s="48"/>
      <c r="K39" s="50"/>
      <c r="L39" s="50"/>
    </row>
    <row r="40" spans="2:14" ht="27.75" customHeight="1">
      <c r="B40" s="124" t="s">
        <v>64</v>
      </c>
      <c r="C40" s="167" t="s">
        <v>121</v>
      </c>
      <c r="D40" s="167"/>
      <c r="E40" s="167"/>
      <c r="F40" s="165" t="s">
        <v>126</v>
      </c>
      <c r="G40" s="165"/>
      <c r="H40" s="124"/>
      <c r="I40" s="124"/>
      <c r="J40" s="124"/>
      <c r="K40" s="2"/>
      <c r="L40" s="2"/>
      <c r="M40" s="105"/>
      <c r="N40" s="105"/>
    </row>
    <row r="41" spans="2:14" ht="11.25" customHeight="1">
      <c r="B41" s="124"/>
      <c r="C41" s="124"/>
      <c r="D41" s="124"/>
      <c r="E41" s="125"/>
      <c r="F41" s="166"/>
      <c r="G41" s="166"/>
      <c r="H41" s="126"/>
      <c r="I41" s="126"/>
      <c r="J41" s="126"/>
      <c r="K41" s="2"/>
      <c r="L41" s="2"/>
      <c r="M41" s="105"/>
      <c r="N41" s="105"/>
    </row>
    <row r="42" spans="2:14">
      <c r="B42" s="124" t="s">
        <v>65</v>
      </c>
      <c r="C42" s="167" t="s">
        <v>121</v>
      </c>
      <c r="D42" s="167"/>
      <c r="E42" s="167"/>
      <c r="F42" s="165" t="s">
        <v>76</v>
      </c>
      <c r="G42" s="165"/>
      <c r="H42" s="124"/>
      <c r="I42" s="124"/>
      <c r="J42" s="124"/>
      <c r="K42" s="2"/>
      <c r="L42" s="2"/>
      <c r="M42" s="105"/>
      <c r="N42" s="105"/>
    </row>
    <row r="43" spans="2:14" ht="9.75" customHeight="1">
      <c r="B43" s="124"/>
      <c r="C43" s="124"/>
      <c r="D43" s="124"/>
      <c r="E43" s="125"/>
      <c r="F43" s="165"/>
      <c r="G43" s="165"/>
      <c r="H43" s="124"/>
      <c r="I43" s="124"/>
      <c r="J43" s="124"/>
    </row>
    <row r="44" spans="2:14">
      <c r="B44" s="124" t="s">
        <v>66</v>
      </c>
      <c r="C44" s="167" t="s">
        <v>121</v>
      </c>
      <c r="D44" s="167"/>
      <c r="E44" s="167"/>
      <c r="F44" s="165" t="s">
        <v>127</v>
      </c>
      <c r="G44" s="165"/>
      <c r="H44" s="124"/>
      <c r="I44" s="124"/>
      <c r="J44" s="124"/>
    </row>
    <row r="45" spans="2:14" ht="8.25" customHeight="1">
      <c r="B45" s="51"/>
      <c r="C45" s="51"/>
      <c r="D45" s="51"/>
      <c r="E45" s="125"/>
      <c r="F45" s="52"/>
      <c r="G45" s="53"/>
      <c r="H45" s="54"/>
      <c r="I45" s="54"/>
      <c r="J45" s="54"/>
    </row>
    <row r="46" spans="2:14">
      <c r="B46" s="124" t="s">
        <v>67</v>
      </c>
      <c r="C46" s="167" t="s">
        <v>121</v>
      </c>
      <c r="D46" s="167"/>
      <c r="E46" s="167"/>
      <c r="F46" s="165" t="s">
        <v>127</v>
      </c>
      <c r="G46" s="165"/>
    </row>
    <row r="47" spans="2:14" ht="9" customHeight="1">
      <c r="B47" s="55"/>
      <c r="C47" s="55"/>
      <c r="D47" s="55"/>
      <c r="E47" s="125"/>
      <c r="F47" s="164"/>
      <c r="G47" s="164"/>
    </row>
    <row r="48" spans="2:14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  <row r="53" spans="3:3">
      <c r="C53" s="63"/>
    </row>
    <row r="54" spans="3:3">
      <c r="C54" s="63"/>
    </row>
    <row r="55" spans="3:3">
      <c r="C55" s="63"/>
    </row>
    <row r="56" spans="3:3">
      <c r="C56" s="63"/>
    </row>
    <row r="57" spans="3:3">
      <c r="C57" s="63"/>
    </row>
  </sheetData>
  <mergeCells count="54">
    <mergeCell ref="C46:E46"/>
    <mergeCell ref="M20:M21"/>
    <mergeCell ref="N20:N21"/>
    <mergeCell ref="C35:D35"/>
    <mergeCell ref="C36:D36"/>
    <mergeCell ref="C37:D37"/>
    <mergeCell ref="E35:F35"/>
    <mergeCell ref="B34:H34"/>
    <mergeCell ref="G35:H35"/>
    <mergeCell ref="C38:D38"/>
    <mergeCell ref="C39:D39"/>
    <mergeCell ref="C18:D18"/>
    <mergeCell ref="E18:F18"/>
    <mergeCell ref="G18:H18"/>
    <mergeCell ref="C42:E42"/>
    <mergeCell ref="C44:E44"/>
    <mergeCell ref="C16:D16"/>
    <mergeCell ref="E16:F16"/>
    <mergeCell ref="G16:H16"/>
    <mergeCell ref="C17:D17"/>
    <mergeCell ref="E17:F17"/>
    <mergeCell ref="G17:H17"/>
    <mergeCell ref="F47:G47"/>
    <mergeCell ref="E36:F36"/>
    <mergeCell ref="F43:G43"/>
    <mergeCell ref="E37:F37"/>
    <mergeCell ref="F44:G44"/>
    <mergeCell ref="E38:F38"/>
    <mergeCell ref="F41:G41"/>
    <mergeCell ref="F42:G42"/>
    <mergeCell ref="E39:F39"/>
    <mergeCell ref="F46:G46"/>
    <mergeCell ref="G36:H36"/>
    <mergeCell ref="G39:H39"/>
    <mergeCell ref="G37:H37"/>
    <mergeCell ref="F40:G40"/>
    <mergeCell ref="G38:H38"/>
    <mergeCell ref="C40:E40"/>
    <mergeCell ref="B1:H1"/>
    <mergeCell ref="B2:H3"/>
    <mergeCell ref="B20:H20"/>
    <mergeCell ref="B21:B22"/>
    <mergeCell ref="C21:C22"/>
    <mergeCell ref="D21:D22"/>
    <mergeCell ref="E21:E22"/>
    <mergeCell ref="F21:G21"/>
    <mergeCell ref="H21:H22"/>
    <mergeCell ref="B13:H13"/>
    <mergeCell ref="C14:D14"/>
    <mergeCell ref="E14:F14"/>
    <mergeCell ref="G14:H14"/>
    <mergeCell ref="C15:D15"/>
    <mergeCell ref="E15:F15"/>
    <mergeCell ref="G15:H15"/>
  </mergeCells>
  <printOptions horizontalCentered="1"/>
  <pageMargins left="0.19685039370078741" right="0.19685039370078741" top="0.54" bottom="0.23622047244094491" header="0.31496062992125984" footer="0.31496062992125984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2"/>
  <sheetViews>
    <sheetView topLeftCell="A13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3" customWidth="1"/>
    <col min="2" max="2" width="58" style="3" customWidth="1"/>
    <col min="3" max="3" width="15.28515625" style="56" customWidth="1"/>
    <col min="4" max="4" width="10.28515625" style="123" customWidth="1"/>
    <col min="5" max="5" width="10.42578125" style="123" customWidth="1"/>
    <col min="6" max="6" width="10.7109375" style="3" customWidth="1"/>
    <col min="7" max="7" width="12" style="3" customWidth="1"/>
    <col min="8" max="8" width="10.42578125" style="3" customWidth="1"/>
    <col min="9" max="9" width="12.28515625" style="3" customWidth="1"/>
    <col min="10" max="12" width="9.140625" style="3"/>
    <col min="13" max="13" width="14" style="102" customWidth="1"/>
    <col min="14" max="14" width="16.7109375" style="102" customWidth="1"/>
    <col min="15" max="16384" width="9.140625" style="3"/>
  </cols>
  <sheetData>
    <row r="1" spans="1:9">
      <c r="B1" s="191" t="s">
        <v>92</v>
      </c>
      <c r="C1" s="191"/>
      <c r="D1" s="191"/>
      <c r="E1" s="191"/>
      <c r="F1" s="191"/>
      <c r="G1" s="191"/>
      <c r="H1" s="191"/>
    </row>
    <row r="2" spans="1:9">
      <c r="B2" s="191" t="s">
        <v>93</v>
      </c>
      <c r="C2" s="191"/>
      <c r="D2" s="191"/>
      <c r="E2" s="191"/>
      <c r="F2" s="191"/>
      <c r="G2" s="191"/>
      <c r="H2" s="191"/>
    </row>
    <row r="3" spans="1:9">
      <c r="B3" s="191" t="s">
        <v>123</v>
      </c>
      <c r="C3" s="191"/>
      <c r="D3" s="191"/>
      <c r="E3" s="191"/>
      <c r="F3" s="191"/>
      <c r="G3" s="191"/>
      <c r="H3" s="191"/>
    </row>
    <row r="4" spans="1:9">
      <c r="B4" s="191" t="s">
        <v>131</v>
      </c>
      <c r="C4" s="191"/>
      <c r="D4" s="191"/>
      <c r="E4" s="191"/>
      <c r="F4" s="191"/>
      <c r="G4" s="191"/>
      <c r="H4" s="191"/>
    </row>
    <row r="5" spans="1:9" ht="26.25" customHeight="1">
      <c r="A5" s="12"/>
      <c r="B5" s="200" t="s">
        <v>132</v>
      </c>
      <c r="C5" s="200"/>
      <c r="D5" s="200"/>
      <c r="E5" s="200"/>
      <c r="F5" s="200"/>
      <c r="G5" s="200"/>
      <c r="H5" s="200"/>
    </row>
    <row r="6" spans="1:9" ht="16.5" customHeight="1">
      <c r="B6" s="200"/>
      <c r="C6" s="200"/>
      <c r="D6" s="200"/>
      <c r="E6" s="200"/>
      <c r="F6" s="200"/>
      <c r="G6" s="200"/>
      <c r="H6" s="200"/>
    </row>
    <row r="7" spans="1:9" ht="8.25" customHeight="1">
      <c r="B7" s="117"/>
      <c r="C7" s="117"/>
      <c r="D7" s="117"/>
      <c r="E7" s="117"/>
      <c r="F7" s="117"/>
      <c r="G7" s="117"/>
      <c r="H7" s="117"/>
    </row>
    <row r="8" spans="1:9">
      <c r="B8" s="84" t="s">
        <v>0</v>
      </c>
      <c r="C8" s="85"/>
      <c r="D8" s="199" t="s">
        <v>47</v>
      </c>
      <c r="E8" s="199"/>
      <c r="F8" s="84"/>
    </row>
    <row r="9" spans="1:9">
      <c r="B9" s="84" t="s">
        <v>1</v>
      </c>
      <c r="C9" s="85"/>
      <c r="D9" s="121">
        <v>1991</v>
      </c>
      <c r="E9" s="121"/>
      <c r="F9" s="84"/>
    </row>
    <row r="10" spans="1:9" hidden="1" outlineLevel="1">
      <c r="B10" s="84" t="s">
        <v>2</v>
      </c>
      <c r="C10" s="85"/>
      <c r="D10" s="121">
        <v>4</v>
      </c>
      <c r="E10" s="121"/>
      <c r="F10" s="84"/>
    </row>
    <row r="11" spans="1:9" hidden="1" outlineLevel="1">
      <c r="B11" s="84" t="s">
        <v>3</v>
      </c>
      <c r="C11" s="85"/>
      <c r="D11" s="121">
        <v>31</v>
      </c>
      <c r="E11" s="121"/>
      <c r="F11" s="84"/>
    </row>
    <row r="12" spans="1:9" ht="30.75" hidden="1" customHeight="1" outlineLevel="1">
      <c r="B12" s="86" t="s">
        <v>4</v>
      </c>
      <c r="C12" s="87"/>
      <c r="D12" s="121" t="s">
        <v>48</v>
      </c>
      <c r="E12" s="121"/>
      <c r="F12" s="84"/>
    </row>
    <row r="13" spans="1:9" collapsed="1">
      <c r="B13" s="84" t="s">
        <v>5</v>
      </c>
      <c r="C13" s="85"/>
      <c r="D13" s="121" t="s">
        <v>109</v>
      </c>
      <c r="E13" s="121"/>
      <c r="F13" s="84"/>
      <c r="I13" s="10"/>
    </row>
    <row r="14" spans="1:9" hidden="1" outlineLevel="1">
      <c r="B14" s="3" t="s">
        <v>6</v>
      </c>
      <c r="D14" s="118" t="s">
        <v>7</v>
      </c>
      <c r="E14" s="118"/>
    </row>
    <row r="15" spans="1:9" ht="30.75" hidden="1" customHeight="1" outlineLevel="1">
      <c r="B15" s="13" t="s">
        <v>8</v>
      </c>
      <c r="C15" s="57"/>
      <c r="D15" s="101" t="s">
        <v>49</v>
      </c>
      <c r="E15" s="118"/>
      <c r="I15" s="10"/>
    </row>
    <row r="16" spans="1:9" ht="16.5" collapsed="1" thickBot="1">
      <c r="B16" s="192" t="s">
        <v>129</v>
      </c>
      <c r="C16" s="192"/>
      <c r="D16" s="192"/>
      <c r="E16" s="192"/>
      <c r="F16" s="192"/>
      <c r="G16" s="192"/>
      <c r="H16" s="192"/>
      <c r="I16" s="10"/>
    </row>
    <row r="17" spans="2:14" ht="40.5" customHeight="1" thickBot="1">
      <c r="B17" s="88" t="s">
        <v>130</v>
      </c>
      <c r="C17" s="135" t="s">
        <v>89</v>
      </c>
      <c r="D17" s="136"/>
      <c r="E17" s="147" t="s">
        <v>10</v>
      </c>
      <c r="F17" s="148"/>
      <c r="G17" s="147" t="s">
        <v>11</v>
      </c>
      <c r="H17" s="163"/>
      <c r="I17" s="10"/>
    </row>
    <row r="18" spans="2:14">
      <c r="B18" s="89" t="s">
        <v>12</v>
      </c>
      <c r="C18" s="137">
        <v>3543916.2699999996</v>
      </c>
      <c r="D18" s="138"/>
      <c r="E18" s="137">
        <v>2514790.0599999996</v>
      </c>
      <c r="F18" s="138"/>
      <c r="G18" s="137">
        <v>1029126.21</v>
      </c>
      <c r="H18" s="149"/>
      <c r="I18" s="10"/>
    </row>
    <row r="19" spans="2:14">
      <c r="B19" s="47" t="s">
        <v>13</v>
      </c>
      <c r="C19" s="142">
        <v>3483675.5700000003</v>
      </c>
      <c r="D19" s="143"/>
      <c r="E19" s="142">
        <v>2471185.25</v>
      </c>
      <c r="F19" s="143"/>
      <c r="G19" s="142">
        <v>1012490.3200000001</v>
      </c>
      <c r="H19" s="144"/>
      <c r="I19" s="10"/>
    </row>
    <row r="20" spans="2:14" ht="16.5" thickBot="1">
      <c r="B20" s="49" t="s">
        <v>63</v>
      </c>
      <c r="C20" s="145">
        <v>3429448.3993000002</v>
      </c>
      <c r="D20" s="146"/>
      <c r="E20" s="145">
        <v>2545763.3993000002</v>
      </c>
      <c r="F20" s="146"/>
      <c r="G20" s="145">
        <v>883685</v>
      </c>
      <c r="H20" s="160"/>
      <c r="I20" s="10"/>
    </row>
    <row r="21" spans="2:14" ht="25.5" thickBot="1">
      <c r="B21" s="11" t="s">
        <v>115</v>
      </c>
      <c r="C21" s="161">
        <f>C19-C20</f>
        <v>54227.170700000133</v>
      </c>
      <c r="D21" s="162"/>
      <c r="E21" s="139">
        <f>E19-E20</f>
        <v>-74578.149300000165</v>
      </c>
      <c r="F21" s="140"/>
      <c r="G21" s="139">
        <f>G19-G20</f>
        <v>128805.32000000007</v>
      </c>
      <c r="H21" s="141"/>
      <c r="I21" s="10"/>
    </row>
    <row r="22" spans="2:14">
      <c r="B22" s="13"/>
      <c r="C22" s="57"/>
      <c r="D22" s="101"/>
      <c r="E22" s="118"/>
      <c r="I22" s="10"/>
    </row>
    <row r="23" spans="2:14" ht="34.5" customHeight="1" thickBot="1">
      <c r="B23" s="202" t="s">
        <v>133</v>
      </c>
      <c r="C23" s="202"/>
      <c r="D23" s="202"/>
      <c r="E23" s="202"/>
      <c r="F23" s="202"/>
      <c r="G23" s="202"/>
      <c r="H23" s="202"/>
      <c r="L23" s="10"/>
      <c r="M23" s="168" t="s">
        <v>117</v>
      </c>
      <c r="N23" s="168" t="s">
        <v>118</v>
      </c>
    </row>
    <row r="24" spans="2:14" ht="31.5" customHeight="1">
      <c r="B24" s="203" t="s">
        <v>77</v>
      </c>
      <c r="C24" s="193" t="s">
        <v>78</v>
      </c>
      <c r="D24" s="193" t="s">
        <v>125</v>
      </c>
      <c r="E24" s="195" t="s">
        <v>134</v>
      </c>
      <c r="F24" s="197" t="s">
        <v>80</v>
      </c>
      <c r="G24" s="198"/>
      <c r="H24" s="157" t="s">
        <v>98</v>
      </c>
      <c r="L24" s="10"/>
      <c r="M24" s="169"/>
      <c r="N24" s="169"/>
    </row>
    <row r="25" spans="2:14" ht="44.25" customHeight="1" thickBot="1">
      <c r="B25" s="204"/>
      <c r="C25" s="194"/>
      <c r="D25" s="194"/>
      <c r="E25" s="196"/>
      <c r="F25" s="17" t="s">
        <v>68</v>
      </c>
      <c r="G25" s="18" t="s">
        <v>69</v>
      </c>
      <c r="H25" s="158"/>
      <c r="M25" s="103">
        <v>278947.99</v>
      </c>
      <c r="N25" s="103">
        <f>M25</f>
        <v>278947.99</v>
      </c>
    </row>
    <row r="26" spans="2:14" ht="38.25">
      <c r="B26" s="19" t="s">
        <v>81</v>
      </c>
      <c r="C26" s="30" t="s">
        <v>82</v>
      </c>
      <c r="D26" s="20" t="s">
        <v>83</v>
      </c>
      <c r="E26" s="21">
        <v>1.7</v>
      </c>
      <c r="F26" s="22">
        <f>$M$25/$M$26*E26</f>
        <v>33115.33400837989</v>
      </c>
      <c r="G26" s="23">
        <f>$N$25/$N$26*E26</f>
        <v>33115.33400837989</v>
      </c>
      <c r="H26" s="24">
        <f>F26-G26</f>
        <v>0</v>
      </c>
      <c r="I26" s="66"/>
      <c r="J26" s="120"/>
      <c r="K26" s="120"/>
      <c r="L26" s="26"/>
      <c r="M26" s="104">
        <f>E35-E33</f>
        <v>14.32</v>
      </c>
      <c r="N26" s="104">
        <f>M26</f>
        <v>14.32</v>
      </c>
    </row>
    <row r="27" spans="2:14" ht="51.75">
      <c r="B27" s="67" t="s">
        <v>75</v>
      </c>
      <c r="C27" s="30" t="s">
        <v>82</v>
      </c>
      <c r="D27" s="20" t="s">
        <v>83</v>
      </c>
      <c r="E27" s="6">
        <v>1.97</v>
      </c>
      <c r="F27" s="22">
        <f t="shared" ref="F27:F34" si="0">$M$25/$M$26*E27</f>
        <v>38374.828233240223</v>
      </c>
      <c r="G27" s="23">
        <f t="shared" ref="G27:G31" si="1">$N$25/$N$26*E27</f>
        <v>38374.828233240223</v>
      </c>
      <c r="H27" s="24">
        <f t="shared" ref="H27:H32" si="2">F27-G27</f>
        <v>0</v>
      </c>
      <c r="I27" s="68"/>
      <c r="J27" s="2"/>
      <c r="K27" s="2"/>
      <c r="L27" s="2"/>
      <c r="M27" s="105"/>
      <c r="N27" s="105"/>
    </row>
    <row r="28" spans="2:14" ht="24">
      <c r="B28" s="28" t="s">
        <v>70</v>
      </c>
      <c r="C28" s="30" t="s">
        <v>82</v>
      </c>
      <c r="D28" s="20" t="s">
        <v>83</v>
      </c>
      <c r="E28" s="6">
        <v>0.32</v>
      </c>
      <c r="F28" s="22">
        <f t="shared" si="0"/>
        <v>6233.4746368715087</v>
      </c>
      <c r="G28" s="23">
        <f t="shared" si="1"/>
        <v>6233.4746368715087</v>
      </c>
      <c r="H28" s="24">
        <f t="shared" si="2"/>
        <v>0</v>
      </c>
      <c r="I28" s="50"/>
      <c r="L28" s="10"/>
    </row>
    <row r="29" spans="2:14" ht="28.5" customHeight="1">
      <c r="B29" s="69" t="s">
        <v>84</v>
      </c>
      <c r="C29" s="29" t="s">
        <v>85</v>
      </c>
      <c r="D29" s="20" t="s">
        <v>83</v>
      </c>
      <c r="E29" s="6">
        <v>0.26</v>
      </c>
      <c r="F29" s="22">
        <f t="shared" si="0"/>
        <v>5064.6981424581008</v>
      </c>
      <c r="G29" s="23">
        <f t="shared" si="1"/>
        <v>5064.6981424581008</v>
      </c>
      <c r="H29" s="24">
        <f t="shared" si="2"/>
        <v>0</v>
      </c>
      <c r="I29" s="50"/>
      <c r="L29" s="10"/>
    </row>
    <row r="30" spans="2:14" ht="57.75" customHeight="1">
      <c r="B30" s="67" t="s">
        <v>71</v>
      </c>
      <c r="C30" s="5" t="s">
        <v>97</v>
      </c>
      <c r="D30" s="20" t="s">
        <v>83</v>
      </c>
      <c r="E30" s="6">
        <v>1.73</v>
      </c>
      <c r="F30" s="22">
        <f t="shared" si="0"/>
        <v>33699.722255586596</v>
      </c>
      <c r="G30" s="23">
        <f t="shared" si="1"/>
        <v>33699.722255586596</v>
      </c>
      <c r="H30" s="24">
        <f t="shared" si="2"/>
        <v>0</v>
      </c>
      <c r="I30" s="50"/>
    </row>
    <row r="31" spans="2:14" ht="213.75" customHeight="1">
      <c r="B31" s="27" t="s">
        <v>94</v>
      </c>
      <c r="C31" s="30" t="s">
        <v>86</v>
      </c>
      <c r="D31" s="20" t="s">
        <v>83</v>
      </c>
      <c r="E31" s="6">
        <v>6.65</v>
      </c>
      <c r="F31" s="22">
        <f t="shared" si="0"/>
        <v>129539.39479748605</v>
      </c>
      <c r="G31" s="23">
        <f t="shared" si="1"/>
        <v>129539.39479748605</v>
      </c>
      <c r="H31" s="24">
        <f t="shared" si="2"/>
        <v>0</v>
      </c>
      <c r="I31" s="68"/>
      <c r="J31" s="2"/>
      <c r="K31" s="2"/>
      <c r="L31" s="1"/>
      <c r="M31" s="105"/>
      <c r="N31" s="105"/>
    </row>
    <row r="32" spans="2:14" ht="114" customHeight="1">
      <c r="B32" s="67" t="s">
        <v>87</v>
      </c>
      <c r="C32" s="30" t="s">
        <v>82</v>
      </c>
      <c r="D32" s="20" t="s">
        <v>83</v>
      </c>
      <c r="E32" s="6">
        <v>0.35</v>
      </c>
      <c r="F32" s="22">
        <f t="shared" si="0"/>
        <v>6817.8628840782121</v>
      </c>
      <c r="G32" s="23">
        <f t="shared" ref="G32" si="3">$N$25/$N$26*E32</f>
        <v>6817.8628840782121</v>
      </c>
      <c r="H32" s="24">
        <f t="shared" si="2"/>
        <v>0</v>
      </c>
      <c r="I32" s="50"/>
    </row>
    <row r="33" spans="2:14" ht="24">
      <c r="B33" s="28" t="s">
        <v>88</v>
      </c>
      <c r="C33" s="30" t="s">
        <v>82</v>
      </c>
      <c r="D33" s="20" t="s">
        <v>83</v>
      </c>
      <c r="E33" s="6">
        <v>5.5</v>
      </c>
      <c r="F33" s="22">
        <v>107137.85</v>
      </c>
      <c r="G33" s="4">
        <v>429468</v>
      </c>
      <c r="H33" s="24">
        <f>F33-G33</f>
        <v>-322330.15000000002</v>
      </c>
      <c r="I33" s="50"/>
      <c r="L33" s="10"/>
    </row>
    <row r="34" spans="2:14" ht="16.5" thickBot="1">
      <c r="B34" s="70" t="s">
        <v>73</v>
      </c>
      <c r="C34" s="32" t="s">
        <v>86</v>
      </c>
      <c r="D34" s="33" t="s">
        <v>83</v>
      </c>
      <c r="E34" s="34">
        <v>1.34</v>
      </c>
      <c r="F34" s="22">
        <f t="shared" si="0"/>
        <v>26102.675041899445</v>
      </c>
      <c r="G34" s="23">
        <f t="shared" ref="G34" si="4">$N$25/$N$26*E34</f>
        <v>26102.675041899445</v>
      </c>
      <c r="H34" s="35">
        <f>F34-G34</f>
        <v>0</v>
      </c>
      <c r="I34" s="50"/>
    </row>
    <row r="35" spans="2:14" ht="16.5" thickBot="1">
      <c r="B35" s="72" t="s">
        <v>74</v>
      </c>
      <c r="C35" s="37"/>
      <c r="D35" s="37"/>
      <c r="E35" s="38">
        <f>SUM(E26:E34)</f>
        <v>19.82</v>
      </c>
      <c r="F35" s="39">
        <f>SUM(F26:F34)</f>
        <v>386085.84</v>
      </c>
      <c r="G35" s="40">
        <f>SUM(G26:G34)</f>
        <v>708415.99</v>
      </c>
      <c r="H35" s="41">
        <f>SUM(H26:H34)</f>
        <v>-322330.15000000002</v>
      </c>
      <c r="I35" s="100"/>
      <c r="J35" s="10"/>
    </row>
    <row r="36" spans="2:14">
      <c r="B36" s="10"/>
      <c r="C36" s="10"/>
      <c r="D36" s="10"/>
      <c r="E36" s="122"/>
      <c r="F36" s="122"/>
      <c r="G36" s="122"/>
      <c r="H36" s="123"/>
    </row>
    <row r="37" spans="2:14" ht="16.5" customHeight="1" thickBot="1">
      <c r="B37" s="192" t="s">
        <v>135</v>
      </c>
      <c r="C37" s="192"/>
      <c r="D37" s="192"/>
      <c r="E37" s="192"/>
      <c r="F37" s="192"/>
      <c r="G37" s="192"/>
      <c r="H37" s="192"/>
      <c r="I37" s="76"/>
      <c r="J37" s="76"/>
    </row>
    <row r="38" spans="2:14" ht="42" customHeight="1" thickBot="1">
      <c r="B38" s="88" t="s">
        <v>136</v>
      </c>
      <c r="C38" s="135" t="s">
        <v>89</v>
      </c>
      <c r="D38" s="136"/>
      <c r="E38" s="147" t="s">
        <v>10</v>
      </c>
      <c r="F38" s="148"/>
      <c r="G38" s="147" t="s">
        <v>11</v>
      </c>
      <c r="H38" s="163"/>
      <c r="I38" s="77"/>
      <c r="J38" s="78"/>
      <c r="K38" s="45"/>
      <c r="L38" s="46"/>
      <c r="M38" s="106"/>
      <c r="N38" s="106"/>
    </row>
    <row r="39" spans="2:14">
      <c r="B39" s="89" t="s">
        <v>12</v>
      </c>
      <c r="C39" s="173">
        <f>E39+G39</f>
        <v>3930002.11</v>
      </c>
      <c r="D39" s="174"/>
      <c r="E39" s="173">
        <f>F26+F27+F28+F29+F30+F31+F32+F34+E18</f>
        <v>2793738.05</v>
      </c>
      <c r="F39" s="174"/>
      <c r="G39" s="173">
        <f>F33+G18</f>
        <v>1136264.06</v>
      </c>
      <c r="H39" s="175"/>
      <c r="I39" s="79"/>
      <c r="J39" s="78"/>
      <c r="K39" s="7"/>
      <c r="L39" s="7"/>
      <c r="M39" s="107"/>
    </row>
    <row r="40" spans="2:14">
      <c r="B40" s="47" t="s">
        <v>13</v>
      </c>
      <c r="C40" s="142">
        <f>E40+G40</f>
        <v>3911493.34</v>
      </c>
      <c r="D40" s="143"/>
      <c r="E40" s="142">
        <f>E19+301107.63</f>
        <v>2772292.88</v>
      </c>
      <c r="F40" s="143"/>
      <c r="G40" s="142">
        <f>G19+126710.14</f>
        <v>1139200.46</v>
      </c>
      <c r="H40" s="144"/>
      <c r="I40" s="79"/>
      <c r="J40" s="78"/>
      <c r="K40" s="9"/>
      <c r="L40" s="7"/>
      <c r="M40" s="107"/>
    </row>
    <row r="41" spans="2:14" ht="16.5" thickBot="1">
      <c r="B41" s="49" t="s">
        <v>63</v>
      </c>
      <c r="C41" s="170">
        <f>E41+G41</f>
        <v>4137864.3893000004</v>
      </c>
      <c r="D41" s="171"/>
      <c r="E41" s="170">
        <f>G26+G27+G28+G29+G30+G31+G32+G34+E20</f>
        <v>2824711.3893000004</v>
      </c>
      <c r="F41" s="171"/>
      <c r="G41" s="170">
        <f>G33+G20</f>
        <v>1313153</v>
      </c>
      <c r="H41" s="172"/>
      <c r="I41" s="79"/>
      <c r="J41" s="78"/>
      <c r="K41" s="50"/>
      <c r="L41" s="50"/>
    </row>
    <row r="42" spans="2:14" ht="29.25" customHeight="1" thickBot="1">
      <c r="B42" s="11" t="s">
        <v>116</v>
      </c>
      <c r="C42" s="161">
        <f>E42+G42</f>
        <v>-226371.04930000054</v>
      </c>
      <c r="D42" s="162"/>
      <c r="E42" s="139">
        <f>E40-E41</f>
        <v>-52418.5093000005</v>
      </c>
      <c r="F42" s="140"/>
      <c r="G42" s="139">
        <f>G40-G41</f>
        <v>-173952.54000000004</v>
      </c>
      <c r="H42" s="141"/>
      <c r="I42" s="79"/>
      <c r="J42" s="78"/>
      <c r="K42" s="50"/>
      <c r="L42" s="50"/>
    </row>
    <row r="43" spans="2:14" ht="15" customHeight="1">
      <c r="B43" s="73"/>
      <c r="C43" s="90"/>
      <c r="D43" s="90"/>
      <c r="E43" s="91"/>
      <c r="F43" s="91"/>
      <c r="G43" s="91"/>
      <c r="H43" s="91"/>
      <c r="I43" s="80"/>
      <c r="J43" s="2"/>
      <c r="K43" s="2"/>
      <c r="L43" s="2"/>
      <c r="M43" s="105"/>
      <c r="N43" s="105"/>
    </row>
    <row r="44" spans="2:14" ht="15" customHeight="1">
      <c r="B44" s="80" t="s">
        <v>64</v>
      </c>
      <c r="C44" s="201" t="s">
        <v>119</v>
      </c>
      <c r="D44" s="201"/>
      <c r="E44" s="201"/>
      <c r="F44" s="165" t="s">
        <v>126</v>
      </c>
      <c r="G44" s="165"/>
      <c r="H44" s="80"/>
      <c r="I44" s="80"/>
      <c r="J44" s="2"/>
      <c r="K44" s="2"/>
      <c r="L44" s="2"/>
      <c r="M44" s="105"/>
      <c r="N44" s="105"/>
    </row>
    <row r="45" spans="2:14" ht="9" customHeight="1">
      <c r="B45" s="80"/>
      <c r="C45" s="74"/>
      <c r="D45" s="74"/>
      <c r="E45" s="116"/>
      <c r="F45" s="166"/>
      <c r="G45" s="166"/>
      <c r="H45" s="80"/>
      <c r="I45" s="80"/>
      <c r="J45" s="2"/>
      <c r="K45" s="2"/>
      <c r="L45" s="2"/>
      <c r="M45" s="105"/>
      <c r="N45" s="105"/>
    </row>
    <row r="46" spans="2:14" ht="15" customHeight="1">
      <c r="B46" s="80" t="s">
        <v>65</v>
      </c>
      <c r="C46" s="201" t="s">
        <v>119</v>
      </c>
      <c r="D46" s="201"/>
      <c r="E46" s="201"/>
      <c r="F46" s="165" t="s">
        <v>76</v>
      </c>
      <c r="G46" s="165"/>
      <c r="H46" s="80"/>
      <c r="I46" s="80"/>
    </row>
    <row r="47" spans="2:14" ht="9.75" customHeight="1">
      <c r="B47" s="80"/>
      <c r="C47" s="74"/>
      <c r="D47" s="74"/>
      <c r="E47" s="116"/>
      <c r="F47" s="165"/>
      <c r="G47" s="165"/>
      <c r="H47" s="80"/>
      <c r="I47" s="80"/>
    </row>
    <row r="48" spans="2:14" ht="15" customHeight="1">
      <c r="B48" s="80" t="s">
        <v>66</v>
      </c>
      <c r="C48" s="201" t="s">
        <v>120</v>
      </c>
      <c r="D48" s="201"/>
      <c r="E48" s="201"/>
      <c r="F48" s="165" t="s">
        <v>127</v>
      </c>
      <c r="G48" s="165"/>
      <c r="H48" s="80"/>
      <c r="I48" s="8"/>
    </row>
    <row r="49" spans="2:9" ht="10.5" customHeight="1">
      <c r="B49" s="53"/>
      <c r="C49" s="51"/>
      <c r="D49" s="51"/>
      <c r="E49" s="116"/>
      <c r="F49" s="52"/>
      <c r="G49" s="53"/>
      <c r="H49" s="54"/>
      <c r="I49" s="80"/>
    </row>
    <row r="50" spans="2:9" ht="14.25" customHeight="1">
      <c r="B50" s="80" t="s">
        <v>67</v>
      </c>
      <c r="C50" s="201" t="s">
        <v>120</v>
      </c>
      <c r="D50" s="201"/>
      <c r="E50" s="201"/>
      <c r="F50" s="165" t="s">
        <v>127</v>
      </c>
      <c r="G50" s="165"/>
      <c r="H50" s="80"/>
      <c r="I50" s="123"/>
    </row>
    <row r="51" spans="2:9">
      <c r="C51" s="122"/>
      <c r="E51" s="119"/>
    </row>
    <row r="52" spans="2:9">
      <c r="C52" s="3"/>
      <c r="D52" s="3"/>
      <c r="E52" s="3"/>
    </row>
  </sheetData>
  <mergeCells count="57">
    <mergeCell ref="C48:E48"/>
    <mergeCell ref="F48:G48"/>
    <mergeCell ref="C50:E50"/>
    <mergeCell ref="M23:M24"/>
    <mergeCell ref="N23:N24"/>
    <mergeCell ref="C40:D40"/>
    <mergeCell ref="C41:D41"/>
    <mergeCell ref="C42:D42"/>
    <mergeCell ref="C44:E44"/>
    <mergeCell ref="C46:E46"/>
    <mergeCell ref="G38:H38"/>
    <mergeCell ref="E39:F39"/>
    <mergeCell ref="G39:H39"/>
    <mergeCell ref="B23:H23"/>
    <mergeCell ref="B24:B25"/>
    <mergeCell ref="C24:C25"/>
    <mergeCell ref="B2:H2"/>
    <mergeCell ref="B3:H3"/>
    <mergeCell ref="B4:H4"/>
    <mergeCell ref="D8:E8"/>
    <mergeCell ref="B5:H6"/>
    <mergeCell ref="D24:D25"/>
    <mergeCell ref="E24:E25"/>
    <mergeCell ref="F24:G24"/>
    <mergeCell ref="H24:H25"/>
    <mergeCell ref="C38:D38"/>
    <mergeCell ref="C39:D39"/>
    <mergeCell ref="F44:G44"/>
    <mergeCell ref="B1:H1"/>
    <mergeCell ref="F50:G50"/>
    <mergeCell ref="F47:G47"/>
    <mergeCell ref="F45:G45"/>
    <mergeCell ref="F46:G46"/>
    <mergeCell ref="E42:F42"/>
    <mergeCell ref="G42:H42"/>
    <mergeCell ref="E40:F40"/>
    <mergeCell ref="G40:H40"/>
    <mergeCell ref="E41:F41"/>
    <mergeCell ref="G41:H41"/>
    <mergeCell ref="B37:H37"/>
    <mergeCell ref="E38:F38"/>
    <mergeCell ref="B16:H16"/>
    <mergeCell ref="C17:D17"/>
    <mergeCell ref="E17:F17"/>
    <mergeCell ref="G17:H17"/>
    <mergeCell ref="C18:D18"/>
    <mergeCell ref="E18:F18"/>
    <mergeCell ref="G18:H18"/>
    <mergeCell ref="C21:D21"/>
    <mergeCell ref="E21:F21"/>
    <mergeCell ref="G21:H21"/>
    <mergeCell ref="C19:D19"/>
    <mergeCell ref="E19:F19"/>
    <mergeCell ref="G19:H19"/>
    <mergeCell ref="C20:D20"/>
    <mergeCell ref="E20:F20"/>
    <mergeCell ref="G20:H20"/>
  </mergeCells>
  <printOptions horizontalCentered="1"/>
  <pageMargins left="0.15748031496062992" right="0.15748031496062992" top="0.15748031496062992" bottom="0.15748031496062992" header="0.15748031496062992" footer="0.23622047244094491"/>
  <pageSetup paperSize="9" scale="4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zoomScale="110" zoomScaleNormal="110" workbookViewId="0">
      <selection activeCell="B23" sqref="B23:H23"/>
    </sheetView>
  </sheetViews>
  <sheetFormatPr defaultColWidth="9.140625" defaultRowHeight="15.75" outlineLevelRow="1"/>
  <cols>
    <col min="1" max="1" width="2.85546875" style="3" customWidth="1"/>
    <col min="2" max="2" width="58.140625" style="3" customWidth="1"/>
    <col min="3" max="3" width="14.7109375" style="123" customWidth="1"/>
    <col min="4" max="4" width="8.7109375" style="123" customWidth="1"/>
    <col min="5" max="5" width="10" style="123" customWidth="1"/>
    <col min="6" max="6" width="10.140625" style="3" customWidth="1"/>
    <col min="7" max="8" width="10.42578125" style="3" customWidth="1"/>
    <col min="9" max="9" width="12.28515625" style="3" customWidth="1"/>
    <col min="10" max="12" width="9.140625" style="3"/>
    <col min="13" max="13" width="13.85546875" style="102" customWidth="1"/>
    <col min="14" max="14" width="14.140625" style="102" customWidth="1"/>
    <col min="15" max="16384" width="9.140625" style="3"/>
  </cols>
  <sheetData>
    <row r="1" spans="1:9">
      <c r="B1" s="191" t="s">
        <v>92</v>
      </c>
      <c r="C1" s="191"/>
      <c r="D1" s="191"/>
      <c r="E1" s="191"/>
      <c r="F1" s="191"/>
      <c r="G1" s="191"/>
      <c r="H1" s="191"/>
    </row>
    <row r="2" spans="1:9">
      <c r="B2" s="191" t="s">
        <v>93</v>
      </c>
      <c r="C2" s="191"/>
      <c r="D2" s="191"/>
      <c r="E2" s="191"/>
      <c r="F2" s="191"/>
      <c r="G2" s="191"/>
      <c r="H2" s="191"/>
    </row>
    <row r="3" spans="1:9">
      <c r="B3" s="191" t="s">
        <v>124</v>
      </c>
      <c r="C3" s="191"/>
      <c r="D3" s="191"/>
      <c r="E3" s="191"/>
      <c r="F3" s="191"/>
      <c r="G3" s="191"/>
      <c r="H3" s="191"/>
    </row>
    <row r="4" spans="1:9">
      <c r="B4" s="191" t="s">
        <v>131</v>
      </c>
      <c r="C4" s="191"/>
      <c r="D4" s="191"/>
      <c r="E4" s="191"/>
      <c r="F4" s="191"/>
      <c r="G4" s="191"/>
      <c r="H4" s="191"/>
    </row>
    <row r="5" spans="1:9" ht="20.25" customHeight="1">
      <c r="A5" s="12"/>
      <c r="B5" s="200" t="s">
        <v>132</v>
      </c>
      <c r="C5" s="200"/>
      <c r="D5" s="200"/>
      <c r="E5" s="200"/>
      <c r="F5" s="200"/>
      <c r="G5" s="200"/>
      <c r="H5" s="200"/>
    </row>
    <row r="6" spans="1:9" ht="21.75" customHeight="1">
      <c r="B6" s="200"/>
      <c r="C6" s="200"/>
      <c r="D6" s="200"/>
      <c r="E6" s="200"/>
      <c r="F6" s="200"/>
      <c r="G6" s="200"/>
      <c r="H6" s="200"/>
    </row>
    <row r="7" spans="1:9" ht="15.75" customHeight="1">
      <c r="B7" s="117"/>
      <c r="C7" s="117"/>
      <c r="D7" s="117"/>
      <c r="E7" s="117"/>
      <c r="F7" s="117"/>
      <c r="G7" s="117"/>
      <c r="H7" s="117"/>
    </row>
    <row r="8" spans="1:9">
      <c r="B8" s="84" t="s">
        <v>0</v>
      </c>
      <c r="C8" s="92"/>
      <c r="D8" s="199" t="s">
        <v>50</v>
      </c>
      <c r="E8" s="199"/>
    </row>
    <row r="9" spans="1:9">
      <c r="B9" s="84" t="s">
        <v>1</v>
      </c>
      <c r="C9" s="92"/>
      <c r="D9" s="121">
        <v>1993</v>
      </c>
      <c r="E9" s="121"/>
    </row>
    <row r="10" spans="1:9" hidden="1" outlineLevel="1">
      <c r="B10" s="84" t="s">
        <v>2</v>
      </c>
      <c r="C10" s="92"/>
      <c r="D10" s="121">
        <v>4</v>
      </c>
      <c r="E10" s="121"/>
    </row>
    <row r="11" spans="1:9" hidden="1" outlineLevel="1">
      <c r="B11" s="84" t="s">
        <v>3</v>
      </c>
      <c r="C11" s="92"/>
      <c r="D11" s="121">
        <v>31</v>
      </c>
      <c r="E11" s="121"/>
    </row>
    <row r="12" spans="1:9" ht="30.75" hidden="1" customHeight="1" outlineLevel="1">
      <c r="B12" s="86" t="s">
        <v>4</v>
      </c>
      <c r="C12" s="93"/>
      <c r="D12" s="121" t="s">
        <v>51</v>
      </c>
      <c r="E12" s="121"/>
    </row>
    <row r="13" spans="1:9" collapsed="1">
      <c r="B13" s="84" t="s">
        <v>5</v>
      </c>
      <c r="C13" s="92"/>
      <c r="D13" s="121" t="s">
        <v>110</v>
      </c>
      <c r="E13" s="121"/>
      <c r="I13" s="10"/>
    </row>
    <row r="14" spans="1:9" hidden="1" outlineLevel="1">
      <c r="B14" s="3" t="s">
        <v>6</v>
      </c>
      <c r="D14" s="118" t="s">
        <v>7</v>
      </c>
      <c r="E14" s="118"/>
    </row>
    <row r="15" spans="1:9" ht="30.75" hidden="1" customHeight="1" outlineLevel="1">
      <c r="B15" s="13" t="s">
        <v>8</v>
      </c>
      <c r="C15" s="58"/>
      <c r="D15" s="101" t="s">
        <v>52</v>
      </c>
      <c r="E15" s="118"/>
      <c r="I15" s="10"/>
    </row>
    <row r="16" spans="1:9" ht="16.5" customHeight="1" collapsed="1" thickBot="1">
      <c r="B16" s="192" t="s">
        <v>129</v>
      </c>
      <c r="C16" s="192"/>
      <c r="D16" s="192"/>
      <c r="E16" s="192"/>
      <c r="F16" s="192"/>
      <c r="G16" s="192"/>
      <c r="H16" s="192"/>
      <c r="I16" s="10"/>
    </row>
    <row r="17" spans="2:14" ht="44.25" customHeight="1" thickBot="1">
      <c r="B17" s="88" t="s">
        <v>130</v>
      </c>
      <c r="C17" s="135" t="s">
        <v>89</v>
      </c>
      <c r="D17" s="136"/>
      <c r="E17" s="147" t="s">
        <v>10</v>
      </c>
      <c r="F17" s="148"/>
      <c r="G17" s="147" t="s">
        <v>11</v>
      </c>
      <c r="H17" s="163"/>
      <c r="I17" s="10"/>
    </row>
    <row r="18" spans="2:14">
      <c r="B18" s="89" t="s">
        <v>12</v>
      </c>
      <c r="C18" s="137">
        <v>3601529.37</v>
      </c>
      <c r="D18" s="138"/>
      <c r="E18" s="137">
        <v>2555460.12</v>
      </c>
      <c r="F18" s="138"/>
      <c r="G18" s="137">
        <v>1046069.2500000002</v>
      </c>
      <c r="H18" s="149"/>
      <c r="I18" s="10"/>
    </row>
    <row r="19" spans="2:14">
      <c r="B19" s="47" t="s">
        <v>13</v>
      </c>
      <c r="C19" s="142">
        <v>3503995.2600000007</v>
      </c>
      <c r="D19" s="177"/>
      <c r="E19" s="142">
        <v>2485127.1300000004</v>
      </c>
      <c r="F19" s="143"/>
      <c r="G19" s="142">
        <v>1018868.1300000001</v>
      </c>
      <c r="H19" s="144"/>
      <c r="I19" s="10"/>
    </row>
    <row r="20" spans="2:14" ht="16.5" thickBot="1">
      <c r="B20" s="49" t="s">
        <v>63</v>
      </c>
      <c r="C20" s="145">
        <v>3443217.3790000002</v>
      </c>
      <c r="D20" s="178"/>
      <c r="E20" s="170">
        <v>2588013.3790000002</v>
      </c>
      <c r="F20" s="171"/>
      <c r="G20" s="170">
        <v>855204</v>
      </c>
      <c r="H20" s="172"/>
      <c r="I20" s="10"/>
    </row>
    <row r="21" spans="2:14" ht="25.5" thickBot="1">
      <c r="B21" s="11" t="s">
        <v>115</v>
      </c>
      <c r="C21" s="161">
        <f>C19-C20</f>
        <v>60777.881000000518</v>
      </c>
      <c r="D21" s="162"/>
      <c r="E21" s="139">
        <f>E19-E20</f>
        <v>-102886.24899999984</v>
      </c>
      <c r="F21" s="140"/>
      <c r="G21" s="139">
        <f>G19-G20</f>
        <v>163664.13000000012</v>
      </c>
      <c r="H21" s="141"/>
      <c r="I21" s="10"/>
    </row>
    <row r="22" spans="2:14">
      <c r="B22" s="13"/>
      <c r="C22" s="58"/>
      <c r="D22" s="101"/>
      <c r="E22" s="118"/>
      <c r="I22" s="10"/>
    </row>
    <row r="23" spans="2:14" ht="36" customHeight="1" thickBot="1">
      <c r="B23" s="202" t="s">
        <v>133</v>
      </c>
      <c r="C23" s="202"/>
      <c r="D23" s="202"/>
      <c r="E23" s="202"/>
      <c r="F23" s="202"/>
      <c r="G23" s="202"/>
      <c r="H23" s="202"/>
      <c r="L23" s="10"/>
      <c r="M23" s="168" t="s">
        <v>117</v>
      </c>
      <c r="N23" s="168" t="s">
        <v>118</v>
      </c>
    </row>
    <row r="24" spans="2:14" ht="34.5" customHeight="1">
      <c r="B24" s="203" t="s">
        <v>77</v>
      </c>
      <c r="C24" s="193" t="s">
        <v>78</v>
      </c>
      <c r="D24" s="193" t="s">
        <v>125</v>
      </c>
      <c r="E24" s="195" t="s">
        <v>134</v>
      </c>
      <c r="F24" s="197" t="s">
        <v>80</v>
      </c>
      <c r="G24" s="198"/>
      <c r="H24" s="157" t="s">
        <v>98</v>
      </c>
      <c r="L24" s="10"/>
      <c r="M24" s="169"/>
      <c r="N24" s="169"/>
    </row>
    <row r="25" spans="2:14" ht="39.75" customHeight="1" thickBot="1">
      <c r="B25" s="204"/>
      <c r="C25" s="194"/>
      <c r="D25" s="194"/>
      <c r="E25" s="196"/>
      <c r="F25" s="17" t="s">
        <v>68</v>
      </c>
      <c r="G25" s="18" t="s">
        <v>69</v>
      </c>
      <c r="H25" s="158"/>
      <c r="M25" s="103">
        <v>281677.71999999997</v>
      </c>
      <c r="N25" s="103">
        <f>M25</f>
        <v>281677.71999999997</v>
      </c>
    </row>
    <row r="26" spans="2:14" ht="38.25">
      <c r="B26" s="19" t="s">
        <v>81</v>
      </c>
      <c r="C26" s="30" t="s">
        <v>82</v>
      </c>
      <c r="D26" s="20" t="s">
        <v>83</v>
      </c>
      <c r="E26" s="21">
        <v>1.7</v>
      </c>
      <c r="F26" s="22">
        <f>$M$25/$M$26*E26</f>
        <v>33439.394134078211</v>
      </c>
      <c r="G26" s="23">
        <f>$N$25/$N$26*E26</f>
        <v>33439.394134078211</v>
      </c>
      <c r="H26" s="24">
        <f>F26-G26</f>
        <v>0</v>
      </c>
      <c r="I26" s="66"/>
      <c r="J26" s="120"/>
      <c r="K26" s="120"/>
      <c r="L26" s="26"/>
      <c r="M26" s="104">
        <f>E35-E33</f>
        <v>14.32</v>
      </c>
      <c r="N26" s="104">
        <f>M26</f>
        <v>14.32</v>
      </c>
    </row>
    <row r="27" spans="2:14" ht="51.75">
      <c r="B27" s="67" t="s">
        <v>75</v>
      </c>
      <c r="C27" s="30" t="s">
        <v>82</v>
      </c>
      <c r="D27" s="20" t="s">
        <v>83</v>
      </c>
      <c r="E27" s="6">
        <v>1.97</v>
      </c>
      <c r="F27" s="22">
        <f t="shared" ref="F27:F34" si="0">$M$25/$M$26*E27</f>
        <v>38750.356731843567</v>
      </c>
      <c r="G27" s="23">
        <f t="shared" ref="G27:G31" si="1">$N$25/$N$26*E27</f>
        <v>38750.356731843567</v>
      </c>
      <c r="H27" s="24">
        <f t="shared" ref="H27:H32" si="2">F27-G27</f>
        <v>0</v>
      </c>
      <c r="I27" s="68"/>
      <c r="J27" s="2"/>
      <c r="K27" s="2"/>
      <c r="L27" s="2"/>
      <c r="M27" s="105"/>
      <c r="N27" s="105"/>
    </row>
    <row r="28" spans="2:14" ht="24">
      <c r="B28" s="28" t="s">
        <v>70</v>
      </c>
      <c r="C28" s="30" t="s">
        <v>82</v>
      </c>
      <c r="D28" s="20" t="s">
        <v>83</v>
      </c>
      <c r="E28" s="6">
        <v>0.32</v>
      </c>
      <c r="F28" s="22">
        <f t="shared" si="0"/>
        <v>6294.4741899441333</v>
      </c>
      <c r="G28" s="23">
        <f t="shared" si="1"/>
        <v>6294.4741899441333</v>
      </c>
      <c r="H28" s="24">
        <f t="shared" si="2"/>
        <v>0</v>
      </c>
      <c r="I28" s="50"/>
      <c r="L28" s="10"/>
    </row>
    <row r="29" spans="2:14" ht="26.25">
      <c r="B29" s="69" t="s">
        <v>84</v>
      </c>
      <c r="C29" s="29" t="s">
        <v>85</v>
      </c>
      <c r="D29" s="20" t="s">
        <v>83</v>
      </c>
      <c r="E29" s="6">
        <v>0.26</v>
      </c>
      <c r="F29" s="22">
        <f t="shared" si="0"/>
        <v>5114.2602793296082</v>
      </c>
      <c r="G29" s="23">
        <f t="shared" si="1"/>
        <v>5114.2602793296082</v>
      </c>
      <c r="H29" s="24">
        <f t="shared" si="2"/>
        <v>0</v>
      </c>
      <c r="I29" s="50"/>
      <c r="L29" s="10"/>
    </row>
    <row r="30" spans="2:14" ht="51.75">
      <c r="B30" s="67" t="s">
        <v>71</v>
      </c>
      <c r="C30" s="5" t="s">
        <v>97</v>
      </c>
      <c r="D30" s="20" t="s">
        <v>83</v>
      </c>
      <c r="E30" s="6">
        <v>1.73</v>
      </c>
      <c r="F30" s="22">
        <f t="shared" si="0"/>
        <v>34029.501089385471</v>
      </c>
      <c r="G30" s="23">
        <f t="shared" si="1"/>
        <v>34029.501089385471</v>
      </c>
      <c r="H30" s="24">
        <f t="shared" si="2"/>
        <v>0</v>
      </c>
      <c r="I30" s="50"/>
    </row>
    <row r="31" spans="2:14" ht="213.75" customHeight="1">
      <c r="B31" s="27" t="s">
        <v>94</v>
      </c>
      <c r="C31" s="30" t="s">
        <v>86</v>
      </c>
      <c r="D31" s="20" t="s">
        <v>83</v>
      </c>
      <c r="E31" s="6">
        <v>6.65</v>
      </c>
      <c r="F31" s="22">
        <f t="shared" si="0"/>
        <v>130807.04175977653</v>
      </c>
      <c r="G31" s="23">
        <f t="shared" si="1"/>
        <v>130807.04175977653</v>
      </c>
      <c r="H31" s="24">
        <f t="shared" si="2"/>
        <v>0</v>
      </c>
      <c r="I31" s="68"/>
      <c r="J31" s="2"/>
      <c r="K31" s="2"/>
      <c r="L31" s="1"/>
      <c r="M31" s="105"/>
      <c r="N31" s="105"/>
    </row>
    <row r="32" spans="2:14" ht="107.25" customHeight="1">
      <c r="B32" s="67" t="s">
        <v>87</v>
      </c>
      <c r="C32" s="30" t="s">
        <v>82</v>
      </c>
      <c r="D32" s="20" t="s">
        <v>83</v>
      </c>
      <c r="E32" s="6">
        <v>0.35</v>
      </c>
      <c r="F32" s="22">
        <f t="shared" si="0"/>
        <v>6884.5811452513954</v>
      </c>
      <c r="G32" s="23">
        <f t="shared" ref="G32" si="3">$N$25/$N$26*E32</f>
        <v>6884.5811452513954</v>
      </c>
      <c r="H32" s="24">
        <f t="shared" si="2"/>
        <v>0</v>
      </c>
      <c r="I32" s="50"/>
    </row>
    <row r="33" spans="2:14" ht="24">
      <c r="B33" s="28" t="s">
        <v>88</v>
      </c>
      <c r="C33" s="30" t="s">
        <v>82</v>
      </c>
      <c r="D33" s="20" t="s">
        <v>83</v>
      </c>
      <c r="E33" s="6">
        <v>5.5</v>
      </c>
      <c r="F33" s="22">
        <v>108186.27</v>
      </c>
      <c r="G33" s="4">
        <v>326921</v>
      </c>
      <c r="H33" s="24">
        <f>F33-G33</f>
        <v>-218734.72999999998</v>
      </c>
      <c r="I33" s="50"/>
      <c r="L33" s="10"/>
    </row>
    <row r="34" spans="2:14" ht="16.5" thickBot="1">
      <c r="B34" s="70" t="s">
        <v>73</v>
      </c>
      <c r="C34" s="32" t="s">
        <v>86</v>
      </c>
      <c r="D34" s="33" t="s">
        <v>83</v>
      </c>
      <c r="E34" s="34">
        <v>1.34</v>
      </c>
      <c r="F34" s="22">
        <f t="shared" si="0"/>
        <v>26358.110670391059</v>
      </c>
      <c r="G34" s="23">
        <f t="shared" ref="G34" si="4">$N$25/$N$26*E34</f>
        <v>26358.110670391059</v>
      </c>
      <c r="H34" s="35">
        <f>F34-G34</f>
        <v>0</v>
      </c>
      <c r="I34" s="50"/>
    </row>
    <row r="35" spans="2:14" ht="16.5" thickBot="1">
      <c r="B35" s="72" t="s">
        <v>74</v>
      </c>
      <c r="C35" s="37"/>
      <c r="D35" s="37"/>
      <c r="E35" s="38">
        <f>SUM(E26:E34)</f>
        <v>19.82</v>
      </c>
      <c r="F35" s="39">
        <f>SUM(F26:F34)</f>
        <v>389863.99</v>
      </c>
      <c r="G35" s="40">
        <f>SUM(G26:G34)</f>
        <v>608598.72</v>
      </c>
      <c r="H35" s="41">
        <f>SUM(H26:H34)</f>
        <v>-218734.72999999998</v>
      </c>
      <c r="I35" s="100"/>
    </row>
    <row r="36" spans="2:14">
      <c r="B36" s="10"/>
      <c r="C36" s="10"/>
      <c r="D36" s="10"/>
      <c r="E36" s="122"/>
      <c r="F36" s="122"/>
      <c r="G36" s="122"/>
      <c r="H36" s="123"/>
    </row>
    <row r="37" spans="2:14" ht="16.5" customHeight="1" thickBot="1">
      <c r="B37" s="192" t="s">
        <v>135</v>
      </c>
      <c r="C37" s="192"/>
      <c r="D37" s="192"/>
      <c r="E37" s="192"/>
      <c r="F37" s="192"/>
      <c r="G37" s="192"/>
      <c r="H37" s="192"/>
      <c r="I37" s="76"/>
      <c r="J37" s="76"/>
    </row>
    <row r="38" spans="2:14" ht="44.25" customHeight="1" thickBot="1">
      <c r="B38" s="88" t="s">
        <v>136</v>
      </c>
      <c r="C38" s="135" t="s">
        <v>89</v>
      </c>
      <c r="D38" s="136"/>
      <c r="E38" s="147" t="s">
        <v>10</v>
      </c>
      <c r="F38" s="148"/>
      <c r="G38" s="147" t="s">
        <v>11</v>
      </c>
      <c r="H38" s="163"/>
      <c r="I38" s="77"/>
      <c r="J38" s="81"/>
      <c r="K38" s="45"/>
      <c r="L38" s="46"/>
      <c r="M38" s="106"/>
      <c r="N38" s="106"/>
    </row>
    <row r="39" spans="2:14">
      <c r="B39" s="89" t="s">
        <v>12</v>
      </c>
      <c r="C39" s="173">
        <f>E39+G39</f>
        <v>3991393.3600000003</v>
      </c>
      <c r="D39" s="174"/>
      <c r="E39" s="173">
        <f>F26+F27+F28+F29+F30+F31+F32+F34+E18</f>
        <v>2837137.84</v>
      </c>
      <c r="F39" s="174"/>
      <c r="G39" s="173">
        <f>F33+G18</f>
        <v>1154255.5200000003</v>
      </c>
      <c r="H39" s="175"/>
      <c r="I39" s="79"/>
      <c r="J39" s="82"/>
      <c r="K39" s="7"/>
      <c r="L39" s="7"/>
      <c r="M39" s="107"/>
    </row>
    <row r="40" spans="2:14">
      <c r="B40" s="47" t="s">
        <v>13</v>
      </c>
      <c r="C40" s="142">
        <f>E40+G40</f>
        <v>3925245.9000000004</v>
      </c>
      <c r="D40" s="143"/>
      <c r="E40" s="142">
        <f>E19+298643.22</f>
        <v>2783770.3500000006</v>
      </c>
      <c r="F40" s="143"/>
      <c r="G40" s="142">
        <f>G19+122607.42</f>
        <v>1141475.55</v>
      </c>
      <c r="H40" s="144"/>
      <c r="I40" s="79"/>
      <c r="J40" s="82"/>
      <c r="K40" s="9"/>
      <c r="L40" s="7"/>
      <c r="M40" s="107"/>
    </row>
    <row r="41" spans="2:14" ht="16.5" thickBot="1">
      <c r="B41" s="49" t="s">
        <v>63</v>
      </c>
      <c r="C41" s="170">
        <f>E41+G41</f>
        <v>4051816.0990000004</v>
      </c>
      <c r="D41" s="171"/>
      <c r="E41" s="170">
        <f>G26+G27+G28+G29+G30+G31+G32+G34+E20</f>
        <v>2869691.0990000004</v>
      </c>
      <c r="F41" s="171"/>
      <c r="G41" s="170">
        <f>G33+G20</f>
        <v>1182125</v>
      </c>
      <c r="H41" s="172"/>
      <c r="I41" s="79"/>
      <c r="J41" s="82"/>
      <c r="K41" s="50"/>
      <c r="L41" s="50"/>
    </row>
    <row r="42" spans="2:14" ht="32.25" customHeight="1" thickBot="1">
      <c r="B42" s="11" t="s">
        <v>116</v>
      </c>
      <c r="C42" s="161">
        <f>E42+G42</f>
        <v>-126570.19899999979</v>
      </c>
      <c r="D42" s="162"/>
      <c r="E42" s="139">
        <f>E40-E41</f>
        <v>-85920.748999999836</v>
      </c>
      <c r="F42" s="140"/>
      <c r="G42" s="139">
        <f>G40-G41</f>
        <v>-40649.449999999953</v>
      </c>
      <c r="H42" s="141"/>
      <c r="I42" s="79"/>
      <c r="J42" s="82"/>
      <c r="K42" s="50"/>
      <c r="L42" s="50"/>
    </row>
    <row r="43" spans="2:14" ht="18" customHeight="1">
      <c r="B43" s="73"/>
      <c r="C43" s="90"/>
      <c r="D43" s="90"/>
      <c r="E43" s="91"/>
      <c r="F43" s="91"/>
      <c r="G43" s="91"/>
      <c r="H43" s="91"/>
      <c r="I43" s="80"/>
      <c r="J43" s="2"/>
      <c r="K43" s="2"/>
      <c r="L43" s="2"/>
      <c r="M43" s="105"/>
      <c r="N43" s="105"/>
    </row>
    <row r="44" spans="2:14" ht="13.5" customHeight="1">
      <c r="B44" s="80" t="s">
        <v>64</v>
      </c>
      <c r="C44" s="201" t="s">
        <v>119</v>
      </c>
      <c r="D44" s="201"/>
      <c r="E44" s="201"/>
      <c r="F44" s="165" t="s">
        <v>126</v>
      </c>
      <c r="G44" s="165"/>
      <c r="H44" s="80"/>
      <c r="I44" s="80"/>
      <c r="J44" s="2"/>
      <c r="K44" s="2"/>
      <c r="L44" s="2"/>
      <c r="M44" s="105"/>
      <c r="N44" s="105"/>
    </row>
    <row r="45" spans="2:14" ht="9.75" customHeight="1">
      <c r="B45" s="80"/>
      <c r="C45" s="74"/>
      <c r="D45" s="74"/>
      <c r="E45" s="116"/>
      <c r="F45" s="166"/>
      <c r="G45" s="166"/>
      <c r="H45" s="80"/>
      <c r="I45" s="80"/>
      <c r="J45" s="2"/>
      <c r="K45" s="2"/>
      <c r="L45" s="2"/>
      <c r="M45" s="105"/>
      <c r="N45" s="105"/>
    </row>
    <row r="46" spans="2:14" ht="16.5" customHeight="1">
      <c r="B46" s="80" t="s">
        <v>65</v>
      </c>
      <c r="C46" s="201" t="s">
        <v>119</v>
      </c>
      <c r="D46" s="201"/>
      <c r="E46" s="201"/>
      <c r="F46" s="165" t="s">
        <v>76</v>
      </c>
      <c r="G46" s="165"/>
      <c r="H46" s="80"/>
      <c r="I46" s="80"/>
    </row>
    <row r="47" spans="2:14" ht="9.75" customHeight="1">
      <c r="B47" s="80"/>
      <c r="C47" s="74"/>
      <c r="D47" s="74"/>
      <c r="E47" s="116"/>
      <c r="F47" s="165"/>
      <c r="G47" s="165"/>
      <c r="H47" s="80"/>
      <c r="I47" s="80"/>
    </row>
    <row r="48" spans="2:14" ht="14.25" customHeight="1">
      <c r="B48" s="80" t="s">
        <v>66</v>
      </c>
      <c r="C48" s="201" t="s">
        <v>120</v>
      </c>
      <c r="D48" s="201"/>
      <c r="E48" s="201"/>
      <c r="F48" s="165" t="s">
        <v>127</v>
      </c>
      <c r="G48" s="165"/>
      <c r="H48" s="80"/>
      <c r="I48" s="8"/>
    </row>
    <row r="49" spans="2:9" ht="11.25" customHeight="1">
      <c r="B49" s="53"/>
      <c r="C49" s="51"/>
      <c r="D49" s="51"/>
      <c r="E49" s="116"/>
      <c r="F49" s="52"/>
      <c r="G49" s="53"/>
      <c r="H49" s="54"/>
      <c r="I49" s="80"/>
    </row>
    <row r="50" spans="2:9" ht="13.5" customHeight="1">
      <c r="B50" s="80" t="s">
        <v>67</v>
      </c>
      <c r="C50" s="201" t="s">
        <v>120</v>
      </c>
      <c r="D50" s="201"/>
      <c r="E50" s="201"/>
      <c r="F50" s="165" t="s">
        <v>127</v>
      </c>
      <c r="G50" s="165"/>
      <c r="H50" s="80"/>
      <c r="I50" s="123"/>
    </row>
    <row r="51" spans="2:9">
      <c r="D51" s="205"/>
      <c r="E51" s="206"/>
    </row>
  </sheetData>
  <mergeCells count="58">
    <mergeCell ref="M23:M24"/>
    <mergeCell ref="N23:N24"/>
    <mergeCell ref="F44:G44"/>
    <mergeCell ref="E40:F40"/>
    <mergeCell ref="G40:H40"/>
    <mergeCell ref="E41:F41"/>
    <mergeCell ref="C44:E44"/>
    <mergeCell ref="C18:D18"/>
    <mergeCell ref="E18:F18"/>
    <mergeCell ref="G18:H18"/>
    <mergeCell ref="C48:E48"/>
    <mergeCell ref="F48:G48"/>
    <mergeCell ref="C40:D40"/>
    <mergeCell ref="C41:D41"/>
    <mergeCell ref="C42:D42"/>
    <mergeCell ref="C46:E46"/>
    <mergeCell ref="B4:H4"/>
    <mergeCell ref="H24:H25"/>
    <mergeCell ref="D8:E8"/>
    <mergeCell ref="B5:H6"/>
    <mergeCell ref="E21:F21"/>
    <mergeCell ref="G21:H21"/>
    <mergeCell ref="C19:D19"/>
    <mergeCell ref="E19:F19"/>
    <mergeCell ref="G19:H19"/>
    <mergeCell ref="C20:D20"/>
    <mergeCell ref="E20:F20"/>
    <mergeCell ref="G20:H20"/>
    <mergeCell ref="B16:H16"/>
    <mergeCell ref="C17:D17"/>
    <mergeCell ref="E17:F17"/>
    <mergeCell ref="G17:H17"/>
    <mergeCell ref="B1:H1"/>
    <mergeCell ref="F47:G47"/>
    <mergeCell ref="B23:H23"/>
    <mergeCell ref="B24:B25"/>
    <mergeCell ref="C24:C25"/>
    <mergeCell ref="D24:D25"/>
    <mergeCell ref="E24:E25"/>
    <mergeCell ref="B37:H37"/>
    <mergeCell ref="E42:F42"/>
    <mergeCell ref="F24:G24"/>
    <mergeCell ref="G41:H41"/>
    <mergeCell ref="E38:F38"/>
    <mergeCell ref="C21:D21"/>
    <mergeCell ref="G39:H39"/>
    <mergeCell ref="B2:H2"/>
    <mergeCell ref="B3:H3"/>
    <mergeCell ref="D51:E51"/>
    <mergeCell ref="G38:H38"/>
    <mergeCell ref="E39:F39"/>
    <mergeCell ref="F50:G50"/>
    <mergeCell ref="G42:H42"/>
    <mergeCell ref="F46:G46"/>
    <mergeCell ref="F45:G45"/>
    <mergeCell ref="C38:D38"/>
    <mergeCell ref="C39:D39"/>
    <mergeCell ref="C50:E50"/>
  </mergeCells>
  <printOptions horizontalCentered="1"/>
  <pageMargins left="0.15748031496062992" right="0.15748031496062992" top="0.15748031496062992" bottom="0.15748031496062992" header="0.31496062992125984" footer="0.31496062992125984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7" style="3" customWidth="1"/>
    <col min="3" max="3" width="23.140625" style="132" customWidth="1"/>
    <col min="4" max="4" width="9.140625" style="133" customWidth="1"/>
    <col min="5" max="5" width="11.140625" style="133" customWidth="1"/>
    <col min="6" max="7" width="10.28515625" style="3" customWidth="1"/>
    <col min="8" max="8" width="11" style="3" customWidth="1"/>
    <col min="9" max="9" width="12.28515625" style="3" customWidth="1"/>
    <col min="10" max="12" width="9.140625" style="3"/>
    <col min="13" max="13" width="14.7109375" style="102" customWidth="1"/>
    <col min="14" max="14" width="14.5703125" style="102" customWidth="1"/>
    <col min="15" max="16384" width="9.140625" style="3"/>
  </cols>
  <sheetData>
    <row r="1" spans="2:9">
      <c r="B1" s="150" t="s">
        <v>91</v>
      </c>
      <c r="C1" s="150"/>
      <c r="D1" s="150"/>
      <c r="E1" s="150"/>
      <c r="F1" s="150"/>
      <c r="G1" s="150"/>
      <c r="H1" s="150"/>
    </row>
    <row r="2" spans="2:9" ht="19.5" customHeight="1">
      <c r="B2" s="200" t="s">
        <v>137</v>
      </c>
      <c r="C2" s="200"/>
      <c r="D2" s="200"/>
      <c r="E2" s="200"/>
      <c r="F2" s="200"/>
      <c r="G2" s="200"/>
      <c r="H2" s="200"/>
    </row>
    <row r="3" spans="2:9" ht="20.25" customHeight="1">
      <c r="B3" s="200"/>
      <c r="C3" s="200"/>
      <c r="D3" s="200"/>
      <c r="E3" s="200"/>
      <c r="F3" s="200"/>
      <c r="G3" s="200"/>
      <c r="H3" s="200"/>
    </row>
    <row r="4" spans="2:9" ht="15" customHeight="1"/>
    <row r="5" spans="2:9">
      <c r="B5" s="3" t="s">
        <v>0</v>
      </c>
      <c r="D5" s="159" t="s">
        <v>53</v>
      </c>
      <c r="E5" s="159"/>
    </row>
    <row r="6" spans="2:9">
      <c r="B6" s="3" t="s">
        <v>1</v>
      </c>
      <c r="D6" s="128">
        <v>1962</v>
      </c>
      <c r="E6" s="128"/>
    </row>
    <row r="7" spans="2:9" hidden="1" outlineLevel="1">
      <c r="B7" s="3" t="s">
        <v>2</v>
      </c>
      <c r="D7" s="128">
        <v>2</v>
      </c>
      <c r="E7" s="128"/>
    </row>
    <row r="8" spans="2:9" hidden="1" outlineLevel="1">
      <c r="B8" s="3" t="s">
        <v>3</v>
      </c>
      <c r="D8" s="128">
        <v>16</v>
      </c>
      <c r="E8" s="128"/>
    </row>
    <row r="9" spans="2:9" ht="30.75" hidden="1" customHeight="1" outlineLevel="1">
      <c r="B9" s="13" t="s">
        <v>4</v>
      </c>
      <c r="C9" s="14"/>
      <c r="D9" s="128" t="s">
        <v>54</v>
      </c>
      <c r="E9" s="128"/>
    </row>
    <row r="10" spans="2:9" collapsed="1">
      <c r="B10" s="3" t="s">
        <v>5</v>
      </c>
      <c r="D10" s="128" t="s">
        <v>111</v>
      </c>
      <c r="E10" s="128"/>
      <c r="I10" s="10"/>
    </row>
    <row r="11" spans="2:9" hidden="1" outlineLevel="1">
      <c r="B11" s="3" t="s">
        <v>6</v>
      </c>
      <c r="D11" s="128" t="s">
        <v>7</v>
      </c>
      <c r="E11" s="128"/>
    </row>
    <row r="12" spans="2:9" ht="30.75" hidden="1" customHeight="1" outlineLevel="1">
      <c r="B12" s="13" t="s">
        <v>8</v>
      </c>
      <c r="C12" s="14"/>
      <c r="D12" s="101" t="s">
        <v>55</v>
      </c>
      <c r="E12" s="128"/>
      <c r="I12" s="10"/>
    </row>
    <row r="13" spans="2:9" ht="11.25" customHeight="1" collapsed="1">
      <c r="B13" s="13"/>
      <c r="C13" s="14"/>
      <c r="D13" s="101"/>
      <c r="E13" s="128"/>
      <c r="I13" s="10"/>
    </row>
    <row r="14" spans="2:9" ht="15.75" customHeight="1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2:9" ht="40.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2:9">
      <c r="B16" s="89" t="s">
        <v>12</v>
      </c>
      <c r="C16" s="137">
        <v>1352547.9309970902</v>
      </c>
      <c r="D16" s="176"/>
      <c r="E16" s="173">
        <v>1093963.5409970903</v>
      </c>
      <c r="F16" s="174"/>
      <c r="G16" s="173">
        <v>258584.38999999998</v>
      </c>
      <c r="H16" s="175"/>
      <c r="I16" s="10"/>
    </row>
    <row r="17" spans="2:14">
      <c r="B17" s="47" t="s">
        <v>13</v>
      </c>
      <c r="C17" s="142">
        <v>1255289.53</v>
      </c>
      <c r="D17" s="177"/>
      <c r="E17" s="142">
        <v>1016608.41</v>
      </c>
      <c r="F17" s="143"/>
      <c r="G17" s="142">
        <v>238681.12</v>
      </c>
      <c r="H17" s="144"/>
      <c r="I17" s="10"/>
    </row>
    <row r="18" spans="2:14" ht="16.5" thickBot="1">
      <c r="B18" s="49" t="s">
        <v>63</v>
      </c>
      <c r="C18" s="145">
        <v>1405163.6225582389</v>
      </c>
      <c r="D18" s="178"/>
      <c r="E18" s="170">
        <v>1093960.6225582389</v>
      </c>
      <c r="F18" s="171"/>
      <c r="G18" s="170">
        <v>311203</v>
      </c>
      <c r="H18" s="172"/>
      <c r="I18" s="10"/>
    </row>
    <row r="19" spans="2:14" ht="36.75" thickBot="1">
      <c r="B19" s="11" t="s">
        <v>115</v>
      </c>
      <c r="C19" s="161">
        <f>E19+G19</f>
        <v>-149874.09255823889</v>
      </c>
      <c r="D19" s="162"/>
      <c r="E19" s="139">
        <f>E17-E18</f>
        <v>-77352.212558238884</v>
      </c>
      <c r="F19" s="140"/>
      <c r="G19" s="139">
        <f>G17-G18</f>
        <v>-72521.88</v>
      </c>
      <c r="H19" s="141"/>
      <c r="I19" s="10"/>
    </row>
    <row r="20" spans="2:14">
      <c r="B20" s="13"/>
      <c r="C20" s="14"/>
      <c r="D20" s="101"/>
      <c r="E20" s="128"/>
      <c r="I20" s="10"/>
    </row>
    <row r="21" spans="2:14" ht="18.75" customHeight="1" thickBot="1">
      <c r="B21" s="208" t="s">
        <v>133</v>
      </c>
      <c r="C21" s="208"/>
      <c r="D21" s="208"/>
      <c r="E21" s="208"/>
      <c r="F21" s="208"/>
      <c r="G21" s="208"/>
      <c r="H21" s="208"/>
      <c r="L21" s="10"/>
      <c r="M21" s="168" t="s">
        <v>117</v>
      </c>
      <c r="N21" s="168" t="s">
        <v>118</v>
      </c>
    </row>
    <row r="22" spans="2:14" ht="34.5" customHeight="1">
      <c r="B22" s="151" t="s">
        <v>77</v>
      </c>
      <c r="C22" s="153" t="s">
        <v>78</v>
      </c>
      <c r="D22" s="153" t="s">
        <v>79</v>
      </c>
      <c r="E22" s="195" t="s">
        <v>134</v>
      </c>
      <c r="F22" s="155" t="s">
        <v>80</v>
      </c>
      <c r="G22" s="156"/>
      <c r="H22" s="157" t="s">
        <v>98</v>
      </c>
      <c r="L22" s="10"/>
      <c r="M22" s="169"/>
      <c r="N22" s="169"/>
    </row>
    <row r="23" spans="2:14" ht="39.75" customHeight="1" thickBot="1">
      <c r="B23" s="152"/>
      <c r="C23" s="154"/>
      <c r="D23" s="154"/>
      <c r="E23" s="196"/>
      <c r="F23" s="17" t="s">
        <v>68</v>
      </c>
      <c r="G23" s="18" t="s">
        <v>69</v>
      </c>
      <c r="H23" s="158"/>
      <c r="M23" s="103">
        <v>76299.09</v>
      </c>
      <c r="N23" s="103">
        <f>M23</f>
        <v>76299.09</v>
      </c>
    </row>
    <row r="24" spans="2:14" ht="53.25" customHeight="1">
      <c r="B24" s="19" t="s">
        <v>81</v>
      </c>
      <c r="C24" s="5" t="s">
        <v>96</v>
      </c>
      <c r="D24" s="20" t="s">
        <v>83</v>
      </c>
      <c r="E24" s="21">
        <v>3.18</v>
      </c>
      <c r="F24" s="22">
        <f>$M$23/$M$24*E24</f>
        <v>14147.586367346941</v>
      </c>
      <c r="G24" s="23">
        <f>$N$23/$N$24*E24</f>
        <v>14147.586367346941</v>
      </c>
      <c r="H24" s="24">
        <f>F24-G24</f>
        <v>0</v>
      </c>
      <c r="I24" s="66"/>
      <c r="J24" s="130"/>
      <c r="K24" s="130"/>
      <c r="L24" s="26"/>
      <c r="M24" s="104">
        <f>E33-E31</f>
        <v>17.149999999999999</v>
      </c>
      <c r="N24" s="104">
        <f>E33-E31</f>
        <v>17.149999999999999</v>
      </c>
    </row>
    <row r="25" spans="2:14" ht="51.75">
      <c r="B25" s="67" t="s">
        <v>75</v>
      </c>
      <c r="C25" s="5" t="s">
        <v>96</v>
      </c>
      <c r="D25" s="20" t="s">
        <v>83</v>
      </c>
      <c r="E25" s="6">
        <v>3.57</v>
      </c>
      <c r="F25" s="22">
        <f t="shared" ref="F25:F32" si="0">$M$23/$M$24*E25</f>
        <v>15882.667714285715</v>
      </c>
      <c r="G25" s="23">
        <f t="shared" ref="G25:G29" si="1">$N$23/$N$24*E25</f>
        <v>15882.667714285715</v>
      </c>
      <c r="H25" s="24">
        <f t="shared" ref="H25:H30" si="2">F25-G25</f>
        <v>0</v>
      </c>
      <c r="I25" s="68"/>
      <c r="J25" s="2"/>
      <c r="K25" s="2"/>
      <c r="L25" s="2"/>
      <c r="M25" s="105"/>
      <c r="N25" s="105"/>
    </row>
    <row r="26" spans="2:14" ht="51.75" customHeight="1">
      <c r="B26" s="28" t="s">
        <v>70</v>
      </c>
      <c r="C26" s="5" t="s">
        <v>96</v>
      </c>
      <c r="D26" s="20" t="s">
        <v>83</v>
      </c>
      <c r="E26" s="6">
        <v>0.35</v>
      </c>
      <c r="F26" s="22">
        <f t="shared" si="0"/>
        <v>1557.1242857142856</v>
      </c>
      <c r="G26" s="23">
        <f t="shared" si="1"/>
        <v>1557.1242857142856</v>
      </c>
      <c r="H26" s="24">
        <f t="shared" si="2"/>
        <v>0</v>
      </c>
      <c r="I26" s="50"/>
      <c r="L26" s="10"/>
    </row>
    <row r="27" spans="2:14" ht="26.25">
      <c r="B27" s="69" t="s">
        <v>84</v>
      </c>
      <c r="C27" s="29" t="s">
        <v>85</v>
      </c>
      <c r="D27" s="20" t="s">
        <v>83</v>
      </c>
      <c r="E27" s="6">
        <v>0</v>
      </c>
      <c r="F27" s="22">
        <f>($M$23/12*2)/$M$24*E27</f>
        <v>0</v>
      </c>
      <c r="G27" s="23">
        <f>($N$23/12*2)/$N$24*E27</f>
        <v>0</v>
      </c>
      <c r="H27" s="24">
        <f t="shared" si="2"/>
        <v>0</v>
      </c>
      <c r="I27" s="50"/>
      <c r="L27" s="10"/>
    </row>
    <row r="28" spans="2:14" ht="51.75">
      <c r="B28" s="67" t="s">
        <v>71</v>
      </c>
      <c r="C28" s="5" t="s">
        <v>97</v>
      </c>
      <c r="D28" s="20" t="s">
        <v>83</v>
      </c>
      <c r="E28" s="6">
        <v>1.7</v>
      </c>
      <c r="F28" s="22">
        <f t="shared" si="0"/>
        <v>7563.1751020408165</v>
      </c>
      <c r="G28" s="23">
        <f t="shared" si="1"/>
        <v>7563.1751020408165</v>
      </c>
      <c r="H28" s="24">
        <f t="shared" si="2"/>
        <v>0</v>
      </c>
      <c r="I28" s="50"/>
    </row>
    <row r="29" spans="2:14" ht="213" customHeight="1">
      <c r="B29" s="27" t="s">
        <v>95</v>
      </c>
      <c r="C29" s="30" t="s">
        <v>86</v>
      </c>
      <c r="D29" s="20" t="s">
        <v>83</v>
      </c>
      <c r="E29" s="6">
        <v>7</v>
      </c>
      <c r="F29" s="22">
        <f t="shared" si="0"/>
        <v>31142.485714285714</v>
      </c>
      <c r="G29" s="23">
        <f t="shared" si="1"/>
        <v>31142.485714285714</v>
      </c>
      <c r="H29" s="24">
        <f t="shared" si="2"/>
        <v>0</v>
      </c>
      <c r="I29" s="68"/>
      <c r="J29" s="2"/>
      <c r="K29" s="2"/>
      <c r="L29" s="1"/>
      <c r="M29" s="105"/>
      <c r="N29" s="105"/>
    </row>
    <row r="30" spans="2:14" ht="107.25" customHeight="1">
      <c r="B30" s="67" t="s">
        <v>87</v>
      </c>
      <c r="C30" s="5" t="s">
        <v>96</v>
      </c>
      <c r="D30" s="20" t="s">
        <v>83</v>
      </c>
      <c r="E30" s="6">
        <v>0.3</v>
      </c>
      <c r="F30" s="22">
        <f t="shared" si="0"/>
        <v>1334.6779591836735</v>
      </c>
      <c r="G30" s="23">
        <f t="shared" ref="G30" si="3">$N$23/$N$24*E30</f>
        <v>1334.6779591836735</v>
      </c>
      <c r="H30" s="24">
        <f t="shared" si="2"/>
        <v>0</v>
      </c>
      <c r="I30" s="50"/>
    </row>
    <row r="31" spans="2:14" ht="45">
      <c r="B31" s="28" t="s">
        <v>88</v>
      </c>
      <c r="C31" s="5" t="s">
        <v>96</v>
      </c>
      <c r="D31" s="20" t="s">
        <v>83</v>
      </c>
      <c r="E31" s="6">
        <v>4</v>
      </c>
      <c r="F31" s="22">
        <v>17795.71</v>
      </c>
      <c r="G31" s="4">
        <v>2871</v>
      </c>
      <c r="H31" s="24">
        <f>F31-G31</f>
        <v>14924.71</v>
      </c>
      <c r="I31" s="50"/>
      <c r="L31" s="10"/>
    </row>
    <row r="32" spans="2:14" ht="16.5" thickBot="1">
      <c r="B32" s="70" t="s">
        <v>73</v>
      </c>
      <c r="C32" s="32" t="s">
        <v>86</v>
      </c>
      <c r="D32" s="33" t="s">
        <v>83</v>
      </c>
      <c r="E32" s="34">
        <v>1.05</v>
      </c>
      <c r="F32" s="22">
        <f t="shared" si="0"/>
        <v>4671.3728571428574</v>
      </c>
      <c r="G32" s="23">
        <f t="shared" ref="G32" si="4">$N$23/$N$24*E32</f>
        <v>4671.3728571428574</v>
      </c>
      <c r="H32" s="35">
        <f>F32-G32</f>
        <v>0</v>
      </c>
      <c r="I32" s="50"/>
    </row>
    <row r="33" spans="2:14" ht="16.5" thickBot="1">
      <c r="B33" s="72" t="s">
        <v>74</v>
      </c>
      <c r="C33" s="37"/>
      <c r="D33" s="37"/>
      <c r="E33" s="38">
        <f>SUM(E24:E32)</f>
        <v>21.15</v>
      </c>
      <c r="F33" s="39">
        <f>SUM(F24:F32)</f>
        <v>94094.799999999988</v>
      </c>
      <c r="G33" s="40">
        <f>SUM(G24:G32)</f>
        <v>79170.09</v>
      </c>
      <c r="H33" s="41">
        <f>SUM(H24:H32)</f>
        <v>14924.71</v>
      </c>
      <c r="I33" s="100"/>
    </row>
    <row r="34" spans="2:14">
      <c r="B34" s="10"/>
      <c r="C34" s="10"/>
      <c r="D34" s="10"/>
      <c r="E34" s="132"/>
      <c r="F34" s="132"/>
      <c r="G34" s="132"/>
      <c r="H34" s="133"/>
    </row>
    <row r="35" spans="2:14" ht="16.5" customHeight="1" thickBot="1">
      <c r="B35" s="192" t="s">
        <v>135</v>
      </c>
      <c r="C35" s="192"/>
      <c r="D35" s="192"/>
      <c r="E35" s="192"/>
      <c r="F35" s="192"/>
      <c r="G35" s="192"/>
      <c r="H35" s="192"/>
      <c r="I35" s="76"/>
      <c r="J35" s="76"/>
    </row>
    <row r="36" spans="2:14" ht="44.25" customHeight="1" thickBot="1">
      <c r="B36" s="88" t="s">
        <v>136</v>
      </c>
      <c r="C36" s="135" t="s">
        <v>89</v>
      </c>
      <c r="D36" s="136"/>
      <c r="E36" s="147" t="s">
        <v>10</v>
      </c>
      <c r="F36" s="148"/>
      <c r="G36" s="147" t="s">
        <v>11</v>
      </c>
      <c r="H36" s="163"/>
      <c r="I36" s="77"/>
      <c r="J36" s="81"/>
      <c r="K36" s="45"/>
      <c r="L36" s="46"/>
      <c r="M36" s="106"/>
      <c r="N36" s="106"/>
    </row>
    <row r="37" spans="2:14">
      <c r="B37" s="89" t="s">
        <v>12</v>
      </c>
      <c r="C37" s="137">
        <f>E37+G37</f>
        <v>1446642.7309970902</v>
      </c>
      <c r="D37" s="138"/>
      <c r="E37" s="173">
        <f>F24+F25+F26+F27+F28+F29+F30+F32+E16</f>
        <v>1170262.6309970904</v>
      </c>
      <c r="F37" s="174"/>
      <c r="G37" s="173">
        <f>F31+G16</f>
        <v>276380.09999999998</v>
      </c>
      <c r="H37" s="175"/>
      <c r="I37" s="79"/>
      <c r="J37" s="82"/>
      <c r="K37" s="7"/>
      <c r="L37" s="7"/>
      <c r="M37" s="107"/>
    </row>
    <row r="38" spans="2:14">
      <c r="B38" s="47" t="s">
        <v>13</v>
      </c>
      <c r="C38" s="142">
        <f>E38+G38</f>
        <v>1389933.96</v>
      </c>
      <c r="D38" s="143"/>
      <c r="E38" s="142">
        <f>E17+109179.76</f>
        <v>1125788.17</v>
      </c>
      <c r="F38" s="143"/>
      <c r="G38" s="142">
        <f>G17+25464.67</f>
        <v>264145.78999999998</v>
      </c>
      <c r="H38" s="144"/>
      <c r="I38" s="79"/>
      <c r="J38" s="82"/>
      <c r="K38" s="9"/>
      <c r="L38" s="7"/>
      <c r="M38" s="107"/>
    </row>
    <row r="39" spans="2:14" ht="16.5" thickBot="1">
      <c r="B39" s="49" t="s">
        <v>63</v>
      </c>
      <c r="C39" s="145">
        <f>E39+G39</f>
        <v>1484333.712558239</v>
      </c>
      <c r="D39" s="146"/>
      <c r="E39" s="170">
        <f>G24+G25+G26+G27+G28+G29+G30+G32+E18</f>
        <v>1170259.712558239</v>
      </c>
      <c r="F39" s="171"/>
      <c r="G39" s="170">
        <f>G31+G18</f>
        <v>314074</v>
      </c>
      <c r="H39" s="172"/>
      <c r="I39" s="79"/>
      <c r="J39" s="82"/>
      <c r="K39" s="50"/>
      <c r="L39" s="50"/>
    </row>
    <row r="40" spans="2:14" ht="29.25" customHeight="1" thickBot="1">
      <c r="B40" s="11" t="s">
        <v>116</v>
      </c>
      <c r="C40" s="161">
        <f>E40+G40</f>
        <v>-94399.752558239095</v>
      </c>
      <c r="D40" s="162"/>
      <c r="E40" s="139">
        <f>E38-E39</f>
        <v>-44471.542558239074</v>
      </c>
      <c r="F40" s="140"/>
      <c r="G40" s="139">
        <f>G38-G39</f>
        <v>-49928.210000000021</v>
      </c>
      <c r="H40" s="141"/>
      <c r="I40" s="79"/>
      <c r="J40" s="82"/>
      <c r="K40" s="50"/>
      <c r="L40" s="50"/>
    </row>
    <row r="41" spans="2:14" ht="29.25" customHeight="1">
      <c r="B41" s="124" t="s">
        <v>64</v>
      </c>
      <c r="C41" s="167" t="s">
        <v>121</v>
      </c>
      <c r="D41" s="167"/>
      <c r="E41" s="167"/>
      <c r="F41" s="165" t="s">
        <v>126</v>
      </c>
      <c r="G41" s="165"/>
      <c r="H41" s="80"/>
      <c r="I41" s="80"/>
      <c r="J41" s="2"/>
      <c r="K41" s="2"/>
      <c r="L41" s="2"/>
      <c r="M41" s="105"/>
      <c r="N41" s="105"/>
    </row>
    <row r="42" spans="2:14" ht="9.75" customHeight="1">
      <c r="B42" s="124"/>
      <c r="C42" s="124"/>
      <c r="D42" s="124"/>
      <c r="E42" s="125"/>
      <c r="F42" s="166"/>
      <c r="G42" s="166"/>
      <c r="H42" s="80"/>
      <c r="I42" s="80"/>
      <c r="J42" s="2"/>
      <c r="K42" s="2"/>
      <c r="L42" s="2"/>
      <c r="M42" s="105"/>
      <c r="N42" s="105"/>
    </row>
    <row r="43" spans="2:14">
      <c r="B43" s="124" t="s">
        <v>65</v>
      </c>
      <c r="C43" s="167" t="s">
        <v>121</v>
      </c>
      <c r="D43" s="167"/>
      <c r="E43" s="167"/>
      <c r="F43" s="165" t="s">
        <v>76</v>
      </c>
      <c r="G43" s="165"/>
      <c r="H43" s="80"/>
      <c r="I43" s="80"/>
      <c r="J43" s="2"/>
      <c r="K43" s="2"/>
      <c r="L43" s="2"/>
      <c r="M43" s="105"/>
      <c r="N43" s="105"/>
    </row>
    <row r="44" spans="2:14" ht="6.75" customHeight="1">
      <c r="B44" s="124"/>
      <c r="C44" s="124"/>
      <c r="D44" s="124"/>
      <c r="E44" s="125"/>
      <c r="F44" s="165"/>
      <c r="G44" s="165"/>
      <c r="H44" s="80"/>
      <c r="I44" s="80"/>
    </row>
    <row r="45" spans="2:14">
      <c r="B45" s="124" t="s">
        <v>66</v>
      </c>
      <c r="C45" s="167" t="s">
        <v>121</v>
      </c>
      <c r="D45" s="167"/>
      <c r="E45" s="167"/>
      <c r="F45" s="165" t="s">
        <v>127</v>
      </c>
      <c r="G45" s="165"/>
      <c r="H45" s="80"/>
      <c r="I45" s="80"/>
    </row>
    <row r="46" spans="2:14" ht="9.75" customHeight="1">
      <c r="B46" s="51"/>
      <c r="C46" s="51"/>
      <c r="D46" s="51"/>
      <c r="E46" s="125"/>
      <c r="F46" s="52"/>
      <c r="G46" s="53"/>
      <c r="H46" s="54"/>
      <c r="I46" s="8"/>
    </row>
    <row r="47" spans="2:14">
      <c r="B47" s="124" t="s">
        <v>67</v>
      </c>
      <c r="C47" s="167" t="s">
        <v>121</v>
      </c>
      <c r="D47" s="167"/>
      <c r="E47" s="167"/>
      <c r="F47" s="165" t="s">
        <v>127</v>
      </c>
      <c r="G47" s="165"/>
      <c r="H47" s="80"/>
      <c r="I47" s="80"/>
    </row>
    <row r="48" spans="2:14" ht="7.5" customHeight="1">
      <c r="C48" s="3"/>
      <c r="D48" s="3"/>
      <c r="E48" s="129"/>
      <c r="F48" s="190"/>
      <c r="G48" s="190"/>
      <c r="H48" s="133"/>
      <c r="I48" s="133"/>
    </row>
  </sheetData>
  <mergeCells count="55">
    <mergeCell ref="C43:E43"/>
    <mergeCell ref="C45:E45"/>
    <mergeCell ref="C47:E47"/>
    <mergeCell ref="C39:D39"/>
    <mergeCell ref="C40:D40"/>
    <mergeCell ref="M21:M22"/>
    <mergeCell ref="N21:N22"/>
    <mergeCell ref="C36:D36"/>
    <mergeCell ref="C37:D37"/>
    <mergeCell ref="C38:D38"/>
    <mergeCell ref="B35:H35"/>
    <mergeCell ref="E36:F36"/>
    <mergeCell ref="G36:H36"/>
    <mergeCell ref="E37:F37"/>
    <mergeCell ref="G37:H37"/>
    <mergeCell ref="F48:G48"/>
    <mergeCell ref="F45:G45"/>
    <mergeCell ref="F47:G47"/>
    <mergeCell ref="F43:G43"/>
    <mergeCell ref="F44:G44"/>
    <mergeCell ref="F41:G41"/>
    <mergeCell ref="F42:G42"/>
    <mergeCell ref="E40:F40"/>
    <mergeCell ref="E38:F38"/>
    <mergeCell ref="G38:H38"/>
    <mergeCell ref="E39:F39"/>
    <mergeCell ref="G39:H39"/>
    <mergeCell ref="C41:E41"/>
    <mergeCell ref="G40:H40"/>
    <mergeCell ref="B1:H1"/>
    <mergeCell ref="B21:H21"/>
    <mergeCell ref="B22:B23"/>
    <mergeCell ref="C22:C23"/>
    <mergeCell ref="D22:D23"/>
    <mergeCell ref="E22:E23"/>
    <mergeCell ref="F22:G22"/>
    <mergeCell ref="H22:H23"/>
    <mergeCell ref="B2:H3"/>
    <mergeCell ref="D5:E5"/>
    <mergeCell ref="B14:H14"/>
    <mergeCell ref="C15:D15"/>
    <mergeCell ref="E15:F15"/>
    <mergeCell ref="G15:H15"/>
    <mergeCell ref="C16:D16"/>
    <mergeCell ref="E16:F16"/>
    <mergeCell ref="C19:D19"/>
    <mergeCell ref="E19:F19"/>
    <mergeCell ref="G19:H19"/>
    <mergeCell ref="G16:H16"/>
    <mergeCell ref="C17:D17"/>
    <mergeCell ref="E17:F17"/>
    <mergeCell ref="G17:H17"/>
    <mergeCell ref="C18:D18"/>
    <mergeCell ref="E18:F18"/>
    <mergeCell ref="G18:H18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4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5.7109375" style="3" customWidth="1"/>
    <col min="3" max="3" width="21.85546875" style="133" customWidth="1"/>
    <col min="4" max="4" width="9" style="133" customWidth="1"/>
    <col min="5" max="5" width="11.140625" style="133" customWidth="1"/>
    <col min="6" max="6" width="9.85546875" style="3" customWidth="1"/>
    <col min="7" max="7" width="10.42578125" style="3" customWidth="1"/>
    <col min="8" max="8" width="10.7109375" style="3" customWidth="1"/>
    <col min="9" max="9" width="12.28515625" style="3" customWidth="1"/>
    <col min="10" max="12" width="9.140625" style="3"/>
    <col min="13" max="13" width="12.7109375" style="102" customWidth="1"/>
    <col min="14" max="14" width="14.28515625" style="102" customWidth="1"/>
    <col min="15" max="16384" width="9.140625" style="3"/>
  </cols>
  <sheetData>
    <row r="1" spans="1:9">
      <c r="B1" s="150" t="s">
        <v>91</v>
      </c>
      <c r="C1" s="150"/>
      <c r="D1" s="150"/>
      <c r="E1" s="150"/>
      <c r="F1" s="150"/>
      <c r="G1" s="150"/>
      <c r="H1" s="150"/>
    </row>
    <row r="2" spans="1:9" ht="19.5" customHeight="1">
      <c r="A2" s="12"/>
      <c r="B2" s="200" t="s">
        <v>137</v>
      </c>
      <c r="C2" s="200"/>
      <c r="D2" s="200"/>
      <c r="E2" s="200"/>
      <c r="F2" s="200"/>
      <c r="G2" s="200"/>
      <c r="H2" s="200"/>
    </row>
    <row r="3" spans="1:9" ht="20.25" customHeight="1">
      <c r="A3" s="12"/>
      <c r="B3" s="200"/>
      <c r="C3" s="200"/>
      <c r="D3" s="200"/>
      <c r="E3" s="200"/>
      <c r="F3" s="200"/>
      <c r="G3" s="200"/>
      <c r="H3" s="200"/>
    </row>
    <row r="4" spans="1:9" ht="8.25" customHeight="1"/>
    <row r="5" spans="1:9">
      <c r="B5" s="8" t="s">
        <v>0</v>
      </c>
      <c r="C5" s="54"/>
      <c r="D5" s="207" t="s">
        <v>56</v>
      </c>
      <c r="E5" s="207"/>
      <c r="F5" s="8"/>
    </row>
    <row r="6" spans="1:9">
      <c r="B6" s="8" t="s">
        <v>1</v>
      </c>
      <c r="C6" s="54"/>
      <c r="D6" s="134">
        <v>1961</v>
      </c>
      <c r="E6" s="134"/>
      <c r="F6" s="8"/>
    </row>
    <row r="7" spans="1:9" hidden="1" outlineLevel="1">
      <c r="B7" s="8" t="s">
        <v>2</v>
      </c>
      <c r="C7" s="54"/>
      <c r="D7" s="134">
        <v>2</v>
      </c>
      <c r="E7" s="134"/>
      <c r="F7" s="8"/>
    </row>
    <row r="8" spans="1:9" hidden="1" outlineLevel="1">
      <c r="B8" s="8" t="s">
        <v>3</v>
      </c>
      <c r="C8" s="54"/>
      <c r="D8" s="134">
        <v>16</v>
      </c>
      <c r="E8" s="134"/>
      <c r="F8" s="8"/>
    </row>
    <row r="9" spans="1:9" ht="30.75" hidden="1" customHeight="1" outlineLevel="1">
      <c r="B9" s="98" t="s">
        <v>4</v>
      </c>
      <c r="C9" s="99"/>
      <c r="D9" s="134" t="s">
        <v>57</v>
      </c>
      <c r="E9" s="134"/>
      <c r="F9" s="8"/>
    </row>
    <row r="10" spans="1:9" collapsed="1">
      <c r="B10" s="8" t="s">
        <v>5</v>
      </c>
      <c r="C10" s="54"/>
      <c r="D10" s="134" t="s">
        <v>112</v>
      </c>
      <c r="E10" s="134"/>
      <c r="F10" s="8"/>
      <c r="I10" s="10"/>
    </row>
    <row r="11" spans="1:9" hidden="1" outlineLevel="1">
      <c r="B11" s="3" t="s">
        <v>6</v>
      </c>
      <c r="D11" s="128" t="s">
        <v>7</v>
      </c>
      <c r="E11" s="128"/>
    </row>
    <row r="12" spans="1:9" ht="30.75" hidden="1" customHeight="1" outlineLevel="1">
      <c r="B12" s="13" t="s">
        <v>8</v>
      </c>
      <c r="C12" s="58"/>
      <c r="D12" s="101" t="s">
        <v>58</v>
      </c>
      <c r="E12" s="128"/>
      <c r="I12" s="10"/>
    </row>
    <row r="13" spans="1:9" ht="9.75" customHeight="1" collapsed="1">
      <c r="B13" s="13"/>
      <c r="C13" s="58"/>
      <c r="D13" s="101"/>
      <c r="E13" s="128"/>
      <c r="I13" s="10"/>
    </row>
    <row r="14" spans="1:9" ht="16.5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1:9" ht="40.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1:9">
      <c r="B16" s="89" t="s">
        <v>12</v>
      </c>
      <c r="C16" s="137">
        <v>1252698.8555041114</v>
      </c>
      <c r="D16" s="176"/>
      <c r="E16" s="173">
        <v>982527.03550411132</v>
      </c>
      <c r="F16" s="174"/>
      <c r="G16" s="173">
        <v>270171.81999999995</v>
      </c>
      <c r="H16" s="175"/>
      <c r="I16" s="10"/>
    </row>
    <row r="17" spans="2:14">
      <c r="B17" s="47" t="s">
        <v>13</v>
      </c>
      <c r="C17" s="142">
        <v>1252405.5</v>
      </c>
      <c r="D17" s="177"/>
      <c r="E17" s="142">
        <v>985024.58000000007</v>
      </c>
      <c r="F17" s="143"/>
      <c r="G17" s="142">
        <v>267380.92</v>
      </c>
      <c r="H17" s="144"/>
      <c r="I17" s="10"/>
    </row>
    <row r="18" spans="2:14" ht="16.5" thickBot="1">
      <c r="B18" s="49" t="s">
        <v>63</v>
      </c>
      <c r="C18" s="145">
        <v>1225209.753507246</v>
      </c>
      <c r="D18" s="178"/>
      <c r="E18" s="170">
        <v>989512.75350724603</v>
      </c>
      <c r="F18" s="171"/>
      <c r="G18" s="170">
        <v>235697</v>
      </c>
      <c r="H18" s="172"/>
      <c r="I18" s="10"/>
    </row>
    <row r="19" spans="2:14" ht="33" customHeight="1" thickBot="1">
      <c r="B19" s="11" t="s">
        <v>115</v>
      </c>
      <c r="C19" s="161">
        <f>E19+G19</f>
        <v>27195.746492754028</v>
      </c>
      <c r="D19" s="162"/>
      <c r="E19" s="139">
        <f>E17-E18</f>
        <v>-4488.173507245956</v>
      </c>
      <c r="F19" s="140"/>
      <c r="G19" s="139">
        <f>G17-G18</f>
        <v>31683.919999999984</v>
      </c>
      <c r="H19" s="141"/>
      <c r="I19" s="10"/>
    </row>
    <row r="20" spans="2:14">
      <c r="B20" s="13"/>
      <c r="C20" s="58"/>
      <c r="D20" s="101"/>
      <c r="E20" s="128"/>
      <c r="I20" s="10"/>
    </row>
    <row r="21" spans="2:14" ht="16.5" customHeight="1" thickBot="1">
      <c r="B21" s="208" t="s">
        <v>133</v>
      </c>
      <c r="C21" s="208"/>
      <c r="D21" s="208"/>
      <c r="E21" s="208"/>
      <c r="F21" s="208"/>
      <c r="G21" s="208"/>
      <c r="H21" s="208"/>
      <c r="L21" s="10"/>
      <c r="M21" s="168" t="s">
        <v>117</v>
      </c>
      <c r="N21" s="168" t="s">
        <v>118</v>
      </c>
    </row>
    <row r="22" spans="2:14" ht="34.5" customHeight="1">
      <c r="B22" s="151" t="s">
        <v>77</v>
      </c>
      <c r="C22" s="153" t="s">
        <v>78</v>
      </c>
      <c r="D22" s="153" t="s">
        <v>79</v>
      </c>
      <c r="E22" s="195" t="s">
        <v>134</v>
      </c>
      <c r="F22" s="155" t="s">
        <v>80</v>
      </c>
      <c r="G22" s="156"/>
      <c r="H22" s="157" t="s">
        <v>98</v>
      </c>
      <c r="L22" s="10"/>
      <c r="M22" s="169"/>
      <c r="N22" s="169"/>
    </row>
    <row r="23" spans="2:14" ht="39.75" customHeight="1" thickBot="1">
      <c r="B23" s="152"/>
      <c r="C23" s="154"/>
      <c r="D23" s="154"/>
      <c r="E23" s="196"/>
      <c r="F23" s="17" t="s">
        <v>68</v>
      </c>
      <c r="G23" s="18" t="s">
        <v>69</v>
      </c>
      <c r="H23" s="158"/>
      <c r="M23" s="103">
        <v>126052.74</v>
      </c>
      <c r="N23" s="103">
        <f>M23</f>
        <v>126052.74</v>
      </c>
    </row>
    <row r="24" spans="2:14" ht="53.25" customHeight="1">
      <c r="B24" s="19" t="s">
        <v>81</v>
      </c>
      <c r="C24" s="5" t="s">
        <v>96</v>
      </c>
      <c r="D24" s="20" t="s">
        <v>83</v>
      </c>
      <c r="E24" s="21">
        <v>3.18</v>
      </c>
      <c r="F24" s="22">
        <f>$M$23/$M$24*E24</f>
        <v>23373.044501457731</v>
      </c>
      <c r="G24" s="23">
        <f>$N$23/$N$24*E24</f>
        <v>23373.044501457731</v>
      </c>
      <c r="H24" s="24">
        <f>F24-G24</f>
        <v>0</v>
      </c>
      <c r="I24" s="66"/>
      <c r="J24" s="130"/>
      <c r="K24" s="130"/>
      <c r="L24" s="26"/>
      <c r="M24" s="104">
        <f>E33-E31</f>
        <v>17.149999999999999</v>
      </c>
      <c r="N24" s="104">
        <f>E33-E31</f>
        <v>17.149999999999999</v>
      </c>
    </row>
    <row r="25" spans="2:14" ht="56.25">
      <c r="B25" s="67" t="s">
        <v>75</v>
      </c>
      <c r="C25" s="5" t="s">
        <v>96</v>
      </c>
      <c r="D25" s="20" t="s">
        <v>83</v>
      </c>
      <c r="E25" s="6">
        <v>3.57</v>
      </c>
      <c r="F25" s="22">
        <f t="shared" ref="F25:F32" si="0">$M$23/$M$24*E25</f>
        <v>26239.549959183674</v>
      </c>
      <c r="G25" s="23">
        <f t="shared" ref="G25:G29" si="1">$N$23/$N$24*E25</f>
        <v>26239.549959183674</v>
      </c>
      <c r="H25" s="24">
        <f t="shared" ref="H25:H30" si="2">F25-G25</f>
        <v>0</v>
      </c>
      <c r="I25" s="68"/>
      <c r="J25" s="2"/>
      <c r="K25" s="2"/>
      <c r="L25" s="2"/>
      <c r="M25" s="105"/>
      <c r="N25" s="105"/>
    </row>
    <row r="26" spans="2:14" ht="51.75" customHeight="1">
      <c r="B26" s="28" t="s">
        <v>70</v>
      </c>
      <c r="C26" s="5" t="s">
        <v>96</v>
      </c>
      <c r="D26" s="20" t="s">
        <v>83</v>
      </c>
      <c r="E26" s="6">
        <v>0.35</v>
      </c>
      <c r="F26" s="22">
        <f t="shared" si="0"/>
        <v>2572.5048979591838</v>
      </c>
      <c r="G26" s="23">
        <f t="shared" si="1"/>
        <v>2572.5048979591838</v>
      </c>
      <c r="H26" s="24">
        <f t="shared" si="2"/>
        <v>0</v>
      </c>
      <c r="I26" s="50"/>
      <c r="L26" s="10"/>
    </row>
    <row r="27" spans="2:14" ht="26.25">
      <c r="B27" s="69" t="s">
        <v>84</v>
      </c>
      <c r="C27" s="29" t="s">
        <v>85</v>
      </c>
      <c r="D27" s="20" t="s">
        <v>83</v>
      </c>
      <c r="E27" s="6">
        <v>0.3</v>
      </c>
      <c r="F27" s="22">
        <f>($M$23/12*2)/$M$24*E27</f>
        <v>367.50069970845487</v>
      </c>
      <c r="G27" s="23">
        <f>($N$23/12*2)/$N$24*E27</f>
        <v>367.50069970845487</v>
      </c>
      <c r="H27" s="24">
        <f t="shared" si="2"/>
        <v>0</v>
      </c>
      <c r="I27" s="50"/>
      <c r="L27" s="10"/>
    </row>
    <row r="28" spans="2:14" ht="51.75">
      <c r="B28" s="67" t="s">
        <v>71</v>
      </c>
      <c r="C28" s="5" t="s">
        <v>97</v>
      </c>
      <c r="D28" s="20" t="s">
        <v>83</v>
      </c>
      <c r="E28" s="6">
        <v>1.5</v>
      </c>
      <c r="F28" s="22">
        <f t="shared" si="0"/>
        <v>11025.020991253645</v>
      </c>
      <c r="G28" s="23">
        <f t="shared" si="1"/>
        <v>11025.020991253645</v>
      </c>
      <c r="H28" s="24">
        <f t="shared" si="2"/>
        <v>0</v>
      </c>
      <c r="I28" s="50"/>
    </row>
    <row r="29" spans="2:14" ht="146.25" customHeight="1">
      <c r="B29" s="67" t="s">
        <v>72</v>
      </c>
      <c r="C29" s="30" t="s">
        <v>86</v>
      </c>
      <c r="D29" s="20" t="s">
        <v>83</v>
      </c>
      <c r="E29" s="6">
        <v>6.9</v>
      </c>
      <c r="F29" s="22">
        <f t="shared" si="0"/>
        <v>50715.096559766767</v>
      </c>
      <c r="G29" s="23">
        <f t="shared" si="1"/>
        <v>50715.096559766767</v>
      </c>
      <c r="H29" s="24">
        <f t="shared" si="2"/>
        <v>0</v>
      </c>
      <c r="I29" s="68"/>
      <c r="J29" s="2"/>
      <c r="K29" s="2"/>
      <c r="L29" s="1"/>
      <c r="M29" s="105"/>
      <c r="N29" s="105"/>
    </row>
    <row r="30" spans="2:14" ht="107.25" customHeight="1">
      <c r="B30" s="67" t="s">
        <v>87</v>
      </c>
      <c r="C30" s="5" t="s">
        <v>96</v>
      </c>
      <c r="D30" s="20" t="s">
        <v>83</v>
      </c>
      <c r="E30" s="6">
        <v>0.3</v>
      </c>
      <c r="F30" s="22">
        <f t="shared" si="0"/>
        <v>2205.0041982507291</v>
      </c>
      <c r="G30" s="23">
        <f t="shared" ref="G30" si="3">$N$23/$N$24*E30</f>
        <v>2205.0041982507291</v>
      </c>
      <c r="H30" s="24">
        <f t="shared" si="2"/>
        <v>0</v>
      </c>
      <c r="I30" s="50"/>
    </row>
    <row r="31" spans="2:14" ht="56.25">
      <c r="B31" s="28" t="s">
        <v>88</v>
      </c>
      <c r="C31" s="5" t="s">
        <v>96</v>
      </c>
      <c r="D31" s="20" t="s">
        <v>83</v>
      </c>
      <c r="E31" s="6">
        <v>4</v>
      </c>
      <c r="F31" s="22">
        <v>29400.06</v>
      </c>
      <c r="G31" s="4">
        <v>88603</v>
      </c>
      <c r="H31" s="24">
        <f>F31-G31</f>
        <v>-59202.94</v>
      </c>
      <c r="I31" s="50"/>
      <c r="L31" s="10"/>
    </row>
    <row r="32" spans="2:14" ht="16.5" thickBot="1">
      <c r="B32" s="70" t="s">
        <v>73</v>
      </c>
      <c r="C32" s="32" t="s">
        <v>86</v>
      </c>
      <c r="D32" s="33" t="s">
        <v>83</v>
      </c>
      <c r="E32" s="34">
        <v>1.05</v>
      </c>
      <c r="F32" s="22">
        <f t="shared" si="0"/>
        <v>7717.5146938775524</v>
      </c>
      <c r="G32" s="23">
        <f t="shared" ref="G32" si="4">$N$23/$N$24*E32</f>
        <v>7717.5146938775524</v>
      </c>
      <c r="H32" s="35">
        <f>F32-G32</f>
        <v>0</v>
      </c>
      <c r="I32" s="50"/>
    </row>
    <row r="33" spans="2:14" ht="16.5" thickBot="1">
      <c r="B33" s="72" t="s">
        <v>74</v>
      </c>
      <c r="C33" s="37"/>
      <c r="D33" s="37"/>
      <c r="E33" s="38">
        <f>SUM(E24:E32)</f>
        <v>21.15</v>
      </c>
      <c r="F33" s="39">
        <f>SUM(F24:F32)</f>
        <v>153615.29650145772</v>
      </c>
      <c r="G33" s="40">
        <f>SUM(G24:G32)</f>
        <v>212818.23650145772</v>
      </c>
      <c r="H33" s="41">
        <f>SUM(H24:H32)</f>
        <v>-59202.94</v>
      </c>
      <c r="I33" s="100"/>
    </row>
    <row r="34" spans="2:14" ht="11.25" customHeight="1">
      <c r="B34" s="10"/>
      <c r="C34" s="10"/>
      <c r="D34" s="10"/>
      <c r="E34" s="132"/>
      <c r="F34" s="132"/>
      <c r="G34" s="132"/>
      <c r="H34" s="133"/>
    </row>
    <row r="35" spans="2:14" ht="16.5" customHeight="1" thickBot="1">
      <c r="B35" s="192" t="s">
        <v>135</v>
      </c>
      <c r="C35" s="192"/>
      <c r="D35" s="192"/>
      <c r="E35" s="192"/>
      <c r="F35" s="192"/>
      <c r="G35" s="192"/>
      <c r="H35" s="192"/>
      <c r="I35" s="76"/>
      <c r="J35" s="76"/>
    </row>
    <row r="36" spans="2:14" ht="44.25" customHeight="1" thickBot="1">
      <c r="B36" s="88" t="s">
        <v>136</v>
      </c>
      <c r="C36" s="135" t="s">
        <v>89</v>
      </c>
      <c r="D36" s="136"/>
      <c r="E36" s="147" t="s">
        <v>10</v>
      </c>
      <c r="F36" s="148"/>
      <c r="G36" s="147" t="s">
        <v>11</v>
      </c>
      <c r="H36" s="163"/>
      <c r="I36" s="77"/>
      <c r="J36" s="81"/>
      <c r="K36" s="45"/>
      <c r="L36" s="46"/>
      <c r="M36" s="106"/>
      <c r="N36" s="106"/>
    </row>
    <row r="37" spans="2:14">
      <c r="B37" s="89" t="s">
        <v>12</v>
      </c>
      <c r="C37" s="137">
        <f>E37+G37</f>
        <v>1406314.1520055688</v>
      </c>
      <c r="D37" s="138"/>
      <c r="E37" s="173">
        <f>F24+F25+F26+F27+F28+F29+F30+F32+E16</f>
        <v>1106742.272005569</v>
      </c>
      <c r="F37" s="174"/>
      <c r="G37" s="173">
        <f>F31+G16</f>
        <v>299571.87999999995</v>
      </c>
      <c r="H37" s="175"/>
      <c r="I37" s="79"/>
      <c r="J37" s="82"/>
      <c r="K37" s="7"/>
      <c r="L37" s="7"/>
      <c r="M37" s="107"/>
    </row>
    <row r="38" spans="2:14">
      <c r="B38" s="47" t="s">
        <v>13</v>
      </c>
      <c r="C38" s="142">
        <f>E38+G38</f>
        <v>1412406.8</v>
      </c>
      <c r="D38" s="143"/>
      <c r="E38" s="142">
        <f>E17+129741.01</f>
        <v>1114765.5900000001</v>
      </c>
      <c r="F38" s="143"/>
      <c r="G38" s="142">
        <f>G17+30260.29</f>
        <v>297641.20999999996</v>
      </c>
      <c r="H38" s="144"/>
      <c r="I38" s="79"/>
      <c r="J38" s="82"/>
      <c r="K38" s="9"/>
      <c r="L38" s="7"/>
      <c r="M38" s="107"/>
    </row>
    <row r="39" spans="2:14" ht="16.5" thickBot="1">
      <c r="B39" s="49" t="s">
        <v>63</v>
      </c>
      <c r="C39" s="145">
        <f>E39+G39</f>
        <v>1438027.9900087037</v>
      </c>
      <c r="D39" s="146"/>
      <c r="E39" s="170">
        <f>G24+G25+G26+G27+G28+G29+G30+G32+E18</f>
        <v>1113727.9900087037</v>
      </c>
      <c r="F39" s="171"/>
      <c r="G39" s="170">
        <f>G31+G18</f>
        <v>324300</v>
      </c>
      <c r="H39" s="172"/>
      <c r="I39" s="79"/>
      <c r="J39" s="82"/>
      <c r="K39" s="50"/>
      <c r="L39" s="50"/>
    </row>
    <row r="40" spans="2:14" ht="33" customHeight="1" thickBot="1">
      <c r="B40" s="11" t="s">
        <v>116</v>
      </c>
      <c r="C40" s="161">
        <f>E40+G40</f>
        <v>-25621.190008703619</v>
      </c>
      <c r="D40" s="162"/>
      <c r="E40" s="139">
        <f>E38-E39</f>
        <v>1037.599991296418</v>
      </c>
      <c r="F40" s="140"/>
      <c r="G40" s="139">
        <f>G38-G39</f>
        <v>-26658.790000000037</v>
      </c>
      <c r="H40" s="141"/>
      <c r="I40" s="79"/>
      <c r="J40" s="82"/>
      <c r="K40" s="50"/>
      <c r="L40" s="50"/>
    </row>
    <row r="41" spans="2:14" ht="22.5" customHeight="1">
      <c r="B41" s="124" t="s">
        <v>64</v>
      </c>
      <c r="C41" s="167" t="s">
        <v>121</v>
      </c>
      <c r="D41" s="167"/>
      <c r="E41" s="167"/>
      <c r="F41" s="165" t="s">
        <v>126</v>
      </c>
      <c r="G41" s="165"/>
      <c r="H41" s="80"/>
      <c r="I41" s="80"/>
      <c r="J41" s="2"/>
      <c r="K41" s="2"/>
      <c r="L41" s="2"/>
      <c r="M41" s="105"/>
      <c r="N41" s="105"/>
    </row>
    <row r="42" spans="2:14" ht="9.75" customHeight="1">
      <c r="B42" s="124"/>
      <c r="C42" s="124"/>
      <c r="D42" s="124"/>
      <c r="E42" s="125"/>
      <c r="F42" s="166"/>
      <c r="G42" s="166"/>
      <c r="H42" s="80"/>
      <c r="I42" s="80"/>
      <c r="J42" s="2"/>
      <c r="K42" s="2"/>
      <c r="L42" s="2"/>
      <c r="M42" s="105"/>
      <c r="N42" s="105"/>
    </row>
    <row r="43" spans="2:14">
      <c r="B43" s="124" t="s">
        <v>65</v>
      </c>
      <c r="C43" s="167" t="s">
        <v>121</v>
      </c>
      <c r="D43" s="167"/>
      <c r="E43" s="167"/>
      <c r="F43" s="165" t="s">
        <v>76</v>
      </c>
      <c r="G43" s="165"/>
      <c r="H43" s="80"/>
      <c r="I43" s="80"/>
      <c r="J43" s="2"/>
      <c r="K43" s="2"/>
      <c r="L43" s="2"/>
      <c r="M43" s="105"/>
      <c r="N43" s="105"/>
    </row>
    <row r="44" spans="2:14" ht="6.75" customHeight="1">
      <c r="B44" s="124"/>
      <c r="C44" s="124"/>
      <c r="D44" s="124"/>
      <c r="E44" s="125"/>
      <c r="F44" s="165"/>
      <c r="G44" s="165"/>
      <c r="H44" s="80"/>
      <c r="I44" s="80"/>
    </row>
    <row r="45" spans="2:14">
      <c r="B45" s="124" t="s">
        <v>66</v>
      </c>
      <c r="C45" s="167" t="s">
        <v>121</v>
      </c>
      <c r="D45" s="167"/>
      <c r="E45" s="167"/>
      <c r="F45" s="165" t="s">
        <v>127</v>
      </c>
      <c r="G45" s="165"/>
      <c r="H45" s="80"/>
      <c r="I45" s="80"/>
    </row>
    <row r="46" spans="2:14" ht="9.75" customHeight="1">
      <c r="B46" s="51"/>
      <c r="C46" s="51"/>
      <c r="D46" s="51"/>
      <c r="E46" s="125"/>
      <c r="F46" s="52"/>
      <c r="G46" s="53"/>
      <c r="H46" s="54"/>
      <c r="I46" s="8"/>
    </row>
    <row r="47" spans="2:14" ht="14.25" customHeight="1">
      <c r="B47" s="124" t="s">
        <v>67</v>
      </c>
      <c r="C47" s="167" t="s">
        <v>121</v>
      </c>
      <c r="D47" s="167"/>
      <c r="E47" s="167"/>
      <c r="F47" s="165" t="s">
        <v>127</v>
      </c>
      <c r="G47" s="165"/>
      <c r="H47" s="80"/>
      <c r="I47" s="80"/>
    </row>
    <row r="48" spans="2:14" ht="7.5" customHeight="1">
      <c r="C48" s="3"/>
      <c r="D48" s="3"/>
      <c r="E48" s="129"/>
      <c r="F48" s="190"/>
      <c r="G48" s="190"/>
      <c r="H48" s="133"/>
      <c r="I48" s="133"/>
    </row>
  </sheetData>
  <mergeCells count="55">
    <mergeCell ref="C19:D19"/>
    <mergeCell ref="E19:F19"/>
    <mergeCell ref="G19:H19"/>
    <mergeCell ref="M21:M22"/>
    <mergeCell ref="N21:N22"/>
    <mergeCell ref="G16:H16"/>
    <mergeCell ref="C17:D17"/>
    <mergeCell ref="E17:F17"/>
    <mergeCell ref="G17:H17"/>
    <mergeCell ref="C18:D18"/>
    <mergeCell ref="E18:F18"/>
    <mergeCell ref="G18:H18"/>
    <mergeCell ref="F47:G47"/>
    <mergeCell ref="F48:G48"/>
    <mergeCell ref="E37:F37"/>
    <mergeCell ref="F44:G44"/>
    <mergeCell ref="E38:F38"/>
    <mergeCell ref="F45:G45"/>
    <mergeCell ref="F42:G42"/>
    <mergeCell ref="F43:G43"/>
    <mergeCell ref="G40:H40"/>
    <mergeCell ref="F41:G41"/>
    <mergeCell ref="C41:E41"/>
    <mergeCell ref="C43:E43"/>
    <mergeCell ref="C45:E45"/>
    <mergeCell ref="C47:E47"/>
    <mergeCell ref="C39:D39"/>
    <mergeCell ref="C40:D40"/>
    <mergeCell ref="G38:H38"/>
    <mergeCell ref="G39:H39"/>
    <mergeCell ref="B35:H35"/>
    <mergeCell ref="G36:H36"/>
    <mergeCell ref="G37:H37"/>
    <mergeCell ref="E39:F39"/>
    <mergeCell ref="E40:F40"/>
    <mergeCell ref="C36:D36"/>
    <mergeCell ref="C37:D37"/>
    <mergeCell ref="C38:D38"/>
    <mergeCell ref="E36:F36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C15:D15"/>
    <mergeCell ref="E15:F15"/>
    <mergeCell ref="G15:H15"/>
    <mergeCell ref="C16:D16"/>
    <mergeCell ref="E16:F16"/>
  </mergeCells>
  <printOptions horizontalCentered="1"/>
  <pageMargins left="0.19685039370078741" right="0.19685039370078741" top="0.26" bottom="0.23622047244094491" header="0.16" footer="0.24"/>
  <pageSetup paperSize="9" scale="5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47"/>
  <sheetViews>
    <sheetView tabSelected="1" topLeftCell="A10" zoomScale="110" zoomScaleNormal="110" workbookViewId="0">
      <selection activeCell="B1" sqref="B1:H46"/>
    </sheetView>
  </sheetViews>
  <sheetFormatPr defaultColWidth="9.140625" defaultRowHeight="15.75" outlineLevelRow="1"/>
  <cols>
    <col min="1" max="1" width="2.7109375" style="3" customWidth="1"/>
    <col min="2" max="2" width="56" style="3" customWidth="1"/>
    <col min="3" max="3" width="21.85546875" style="133" customWidth="1"/>
    <col min="4" max="4" width="9" style="133" customWidth="1"/>
    <col min="5" max="5" width="11.140625" style="133" customWidth="1"/>
    <col min="6" max="6" width="10.140625" style="3" customWidth="1"/>
    <col min="7" max="7" width="10.28515625" style="3" customWidth="1"/>
    <col min="8" max="8" width="11" style="3" customWidth="1"/>
    <col min="9" max="9" width="12.28515625" style="3" customWidth="1"/>
    <col min="10" max="12" width="9.140625" style="3"/>
    <col min="13" max="13" width="17.140625" style="102" customWidth="1"/>
    <col min="14" max="14" width="15" style="102" customWidth="1"/>
    <col min="15" max="16384" width="9.140625" style="3"/>
  </cols>
  <sheetData>
    <row r="1" spans="1:9">
      <c r="B1" s="150" t="s">
        <v>91</v>
      </c>
      <c r="C1" s="150"/>
      <c r="D1" s="150"/>
      <c r="E1" s="150"/>
      <c r="F1" s="150"/>
      <c r="G1" s="150"/>
      <c r="H1" s="150"/>
    </row>
    <row r="2" spans="1:9" ht="19.5" customHeight="1">
      <c r="A2" s="12"/>
      <c r="B2" s="200" t="s">
        <v>137</v>
      </c>
      <c r="C2" s="200"/>
      <c r="D2" s="200"/>
      <c r="E2" s="200"/>
      <c r="F2" s="200"/>
      <c r="G2" s="200"/>
      <c r="H2" s="200"/>
    </row>
    <row r="3" spans="1:9" ht="20.25" customHeight="1">
      <c r="A3" s="12"/>
      <c r="B3" s="200"/>
      <c r="C3" s="200"/>
      <c r="D3" s="200"/>
      <c r="E3" s="200"/>
      <c r="F3" s="200"/>
      <c r="G3" s="200"/>
      <c r="H3" s="200"/>
    </row>
    <row r="4" spans="1:9" ht="15" customHeight="1"/>
    <row r="5" spans="1:9">
      <c r="B5" s="3" t="s">
        <v>0</v>
      </c>
      <c r="D5" s="159" t="s">
        <v>59</v>
      </c>
      <c r="E5" s="159"/>
    </row>
    <row r="6" spans="1:9">
      <c r="B6" s="3" t="s">
        <v>1</v>
      </c>
      <c r="D6" s="128">
        <v>1971</v>
      </c>
      <c r="E6" s="128"/>
    </row>
    <row r="7" spans="1:9" hidden="1" outlineLevel="1">
      <c r="B7" s="3" t="s">
        <v>2</v>
      </c>
      <c r="D7" s="128">
        <v>2</v>
      </c>
      <c r="E7" s="128"/>
    </row>
    <row r="8" spans="1:9" hidden="1" outlineLevel="1">
      <c r="B8" s="3" t="s">
        <v>3</v>
      </c>
      <c r="D8" s="128">
        <v>16</v>
      </c>
      <c r="E8" s="128"/>
    </row>
    <row r="9" spans="1:9" ht="30.75" hidden="1" customHeight="1" outlineLevel="1">
      <c r="B9" s="13" t="s">
        <v>4</v>
      </c>
      <c r="C9" s="58"/>
      <c r="D9" s="128" t="s">
        <v>60</v>
      </c>
      <c r="E9" s="128"/>
    </row>
    <row r="10" spans="1:9" collapsed="1">
      <c r="B10" s="3" t="s">
        <v>5</v>
      </c>
      <c r="D10" s="128" t="s">
        <v>113</v>
      </c>
      <c r="E10" s="128"/>
      <c r="I10" s="10"/>
    </row>
    <row r="11" spans="1:9" hidden="1" outlineLevel="1">
      <c r="B11" s="3" t="s">
        <v>6</v>
      </c>
      <c r="D11" s="128" t="s">
        <v>7</v>
      </c>
      <c r="E11" s="128"/>
    </row>
    <row r="12" spans="1:9" ht="30.75" hidden="1" customHeight="1" outlineLevel="1">
      <c r="B12" s="13" t="s">
        <v>8</v>
      </c>
      <c r="C12" s="58"/>
      <c r="D12" s="101" t="s">
        <v>61</v>
      </c>
      <c r="E12" s="128"/>
      <c r="I12" s="10"/>
    </row>
    <row r="13" spans="1:9" ht="16.5" collapsed="1" thickBot="1">
      <c r="B13" s="192" t="s">
        <v>129</v>
      </c>
      <c r="C13" s="192"/>
      <c r="D13" s="192"/>
      <c r="E13" s="192"/>
      <c r="F13" s="192"/>
      <c r="G13" s="192"/>
      <c r="H13" s="192"/>
      <c r="I13" s="10"/>
    </row>
    <row r="14" spans="1:9" ht="39" customHeight="1" thickBot="1">
      <c r="B14" s="88" t="s">
        <v>130</v>
      </c>
      <c r="C14" s="135" t="s">
        <v>89</v>
      </c>
      <c r="D14" s="136"/>
      <c r="E14" s="147" t="s">
        <v>10</v>
      </c>
      <c r="F14" s="148"/>
      <c r="G14" s="147" t="s">
        <v>11</v>
      </c>
      <c r="H14" s="163"/>
      <c r="I14" s="10"/>
    </row>
    <row r="15" spans="1:9">
      <c r="B15" s="89" t="s">
        <v>12</v>
      </c>
      <c r="C15" s="137">
        <v>1289994.7910268803</v>
      </c>
      <c r="D15" s="176"/>
      <c r="E15" s="173">
        <v>1063084.0710268803</v>
      </c>
      <c r="F15" s="174"/>
      <c r="G15" s="173">
        <v>226910.72000000003</v>
      </c>
      <c r="H15" s="175"/>
      <c r="I15" s="10"/>
    </row>
    <row r="16" spans="1:9">
      <c r="B16" s="47" t="s">
        <v>13</v>
      </c>
      <c r="C16" s="142">
        <v>1236440.9900000002</v>
      </c>
      <c r="D16" s="177"/>
      <c r="E16" s="142">
        <v>1023356.5900000002</v>
      </c>
      <c r="F16" s="143"/>
      <c r="G16" s="142">
        <v>213084.40000000002</v>
      </c>
      <c r="H16" s="144"/>
      <c r="I16" s="10"/>
    </row>
    <row r="17" spans="2:14" ht="16.5" thickBot="1">
      <c r="B17" s="49" t="s">
        <v>63</v>
      </c>
      <c r="C17" s="145">
        <v>1283493.8751227942</v>
      </c>
      <c r="D17" s="178"/>
      <c r="E17" s="170">
        <v>1072158.8751227942</v>
      </c>
      <c r="F17" s="171"/>
      <c r="G17" s="170">
        <v>211335</v>
      </c>
      <c r="H17" s="172"/>
      <c r="I17" s="10"/>
    </row>
    <row r="18" spans="2:14" ht="33" customHeight="1" thickBot="1">
      <c r="B18" s="11" t="s">
        <v>115</v>
      </c>
      <c r="C18" s="161">
        <f>E18+G18</f>
        <v>-47052.885122793959</v>
      </c>
      <c r="D18" s="162"/>
      <c r="E18" s="139">
        <f>E16-E17</f>
        <v>-48802.285122793983</v>
      </c>
      <c r="F18" s="140"/>
      <c r="G18" s="139">
        <f>G16-G17</f>
        <v>1749.4000000000233</v>
      </c>
      <c r="H18" s="141"/>
      <c r="I18" s="10"/>
    </row>
    <row r="19" spans="2:14">
      <c r="B19" s="13"/>
      <c r="C19" s="58"/>
      <c r="D19" s="101"/>
      <c r="E19" s="128"/>
      <c r="I19" s="10"/>
    </row>
    <row r="20" spans="2:14" ht="16.5" customHeight="1" thickBot="1">
      <c r="B20" s="208" t="s">
        <v>133</v>
      </c>
      <c r="C20" s="208"/>
      <c r="D20" s="208"/>
      <c r="E20" s="208"/>
      <c r="F20" s="208"/>
      <c r="G20" s="208"/>
      <c r="H20" s="208"/>
      <c r="L20" s="10"/>
      <c r="M20" s="168" t="s">
        <v>117</v>
      </c>
      <c r="N20" s="168" t="s">
        <v>118</v>
      </c>
    </row>
    <row r="21" spans="2:14" ht="34.5" customHeight="1">
      <c r="B21" s="151" t="s">
        <v>77</v>
      </c>
      <c r="C21" s="153" t="s">
        <v>78</v>
      </c>
      <c r="D21" s="153" t="s">
        <v>79</v>
      </c>
      <c r="E21" s="195" t="s">
        <v>134</v>
      </c>
      <c r="F21" s="155" t="s">
        <v>80</v>
      </c>
      <c r="G21" s="156"/>
      <c r="H21" s="157" t="s">
        <v>98</v>
      </c>
      <c r="L21" s="10"/>
      <c r="M21" s="169"/>
      <c r="N21" s="169"/>
    </row>
    <row r="22" spans="2:14" ht="39.75" customHeight="1" thickBot="1">
      <c r="B22" s="152"/>
      <c r="C22" s="154"/>
      <c r="D22" s="154"/>
      <c r="E22" s="196"/>
      <c r="F22" s="17" t="s">
        <v>68</v>
      </c>
      <c r="G22" s="18" t="s">
        <v>69</v>
      </c>
      <c r="H22" s="158"/>
      <c r="M22" s="103">
        <v>130919.52</v>
      </c>
      <c r="N22" s="103">
        <f>M22</f>
        <v>130919.52</v>
      </c>
    </row>
    <row r="23" spans="2:14" ht="53.25" customHeight="1">
      <c r="B23" s="19" t="s">
        <v>81</v>
      </c>
      <c r="C23" s="5" t="s">
        <v>96</v>
      </c>
      <c r="D23" s="20" t="s">
        <v>83</v>
      </c>
      <c r="E23" s="21">
        <v>3.2</v>
      </c>
      <c r="F23" s="22">
        <f>$M$22/$M$23*E23</f>
        <v>24357.120000000003</v>
      </c>
      <c r="G23" s="23">
        <f>$N$22/$N$23*E23</f>
        <v>24357.120000000003</v>
      </c>
      <c r="H23" s="24">
        <f>F23-G23</f>
        <v>0</v>
      </c>
      <c r="I23" s="66"/>
      <c r="J23" s="130"/>
      <c r="K23" s="130"/>
      <c r="L23" s="26"/>
      <c r="M23" s="104">
        <f>E32-E30</f>
        <v>17.2</v>
      </c>
      <c r="N23" s="104">
        <f>E32-E30</f>
        <v>17.2</v>
      </c>
    </row>
    <row r="24" spans="2:14" ht="56.25">
      <c r="B24" s="67" t="s">
        <v>75</v>
      </c>
      <c r="C24" s="5" t="s">
        <v>96</v>
      </c>
      <c r="D24" s="20" t="s">
        <v>83</v>
      </c>
      <c r="E24" s="6">
        <v>3.6</v>
      </c>
      <c r="F24" s="22">
        <f t="shared" ref="F24:F31" si="0">$M$22/$M$23*E24</f>
        <v>27401.760000000002</v>
      </c>
      <c r="G24" s="23">
        <f t="shared" ref="G24:G28" si="1">$N$22/$N$23*E24</f>
        <v>27401.760000000002</v>
      </c>
      <c r="H24" s="24">
        <f t="shared" ref="H24:H29" si="2">F24-G24</f>
        <v>0</v>
      </c>
      <c r="I24" s="68"/>
      <c r="J24" s="2"/>
      <c r="K24" s="2"/>
      <c r="L24" s="2"/>
      <c r="M24" s="105"/>
      <c r="N24" s="105"/>
    </row>
    <row r="25" spans="2:14" ht="51.75" customHeight="1">
      <c r="B25" s="28" t="s">
        <v>70</v>
      </c>
      <c r="C25" s="5" t="s">
        <v>96</v>
      </c>
      <c r="D25" s="20" t="s">
        <v>83</v>
      </c>
      <c r="E25" s="6">
        <v>0.35</v>
      </c>
      <c r="F25" s="22">
        <f t="shared" si="0"/>
        <v>2664.06</v>
      </c>
      <c r="G25" s="23">
        <f t="shared" si="1"/>
        <v>2664.06</v>
      </c>
      <c r="H25" s="24">
        <f t="shared" si="2"/>
        <v>0</v>
      </c>
      <c r="I25" s="50"/>
      <c r="L25" s="10"/>
    </row>
    <row r="26" spans="2:14" ht="26.25">
      <c r="B26" s="69" t="s">
        <v>84</v>
      </c>
      <c r="C26" s="29" t="s">
        <v>85</v>
      </c>
      <c r="D26" s="20" t="s">
        <v>83</v>
      </c>
      <c r="E26" s="6">
        <v>0.3</v>
      </c>
      <c r="F26" s="22">
        <f>($M$22/12*2)/$M$23*E26</f>
        <v>380.58000000000004</v>
      </c>
      <c r="G26" s="23">
        <f>($N$22/112*2)/$N$23*E26</f>
        <v>40.776428571428575</v>
      </c>
      <c r="H26" s="24">
        <f t="shared" si="2"/>
        <v>339.80357142857144</v>
      </c>
      <c r="I26" s="50"/>
      <c r="L26" s="10"/>
    </row>
    <row r="27" spans="2:14" ht="51.75">
      <c r="B27" s="67" t="s">
        <v>71</v>
      </c>
      <c r="C27" s="5" t="s">
        <v>97</v>
      </c>
      <c r="D27" s="20" t="s">
        <v>83</v>
      </c>
      <c r="E27" s="6">
        <v>1.5</v>
      </c>
      <c r="F27" s="22">
        <f t="shared" si="0"/>
        <v>11417.400000000001</v>
      </c>
      <c r="G27" s="23">
        <f t="shared" si="1"/>
        <v>11417.400000000001</v>
      </c>
      <c r="H27" s="24">
        <f t="shared" si="2"/>
        <v>0</v>
      </c>
      <c r="I27" s="50"/>
    </row>
    <row r="28" spans="2:14" ht="214.5" customHeight="1">
      <c r="B28" s="27" t="s">
        <v>94</v>
      </c>
      <c r="C28" s="30" t="s">
        <v>86</v>
      </c>
      <c r="D28" s="20" t="s">
        <v>83</v>
      </c>
      <c r="E28" s="6">
        <v>6.9</v>
      </c>
      <c r="F28" s="22">
        <f t="shared" si="0"/>
        <v>52520.040000000008</v>
      </c>
      <c r="G28" s="23">
        <f t="shared" si="1"/>
        <v>52520.040000000008</v>
      </c>
      <c r="H28" s="24">
        <f t="shared" si="2"/>
        <v>0</v>
      </c>
      <c r="I28" s="68"/>
      <c r="J28" s="2"/>
      <c r="K28" s="2"/>
      <c r="L28" s="1"/>
      <c r="M28" s="105"/>
      <c r="N28" s="105"/>
    </row>
    <row r="29" spans="2:14" ht="107.25" customHeight="1">
      <c r="B29" s="67" t="s">
        <v>87</v>
      </c>
      <c r="C29" s="5" t="s">
        <v>96</v>
      </c>
      <c r="D29" s="20" t="s">
        <v>83</v>
      </c>
      <c r="E29" s="6">
        <v>0.3</v>
      </c>
      <c r="F29" s="22">
        <f t="shared" si="0"/>
        <v>2283.48</v>
      </c>
      <c r="G29" s="23">
        <f t="shared" ref="G29" si="3">$N$22/$N$23*E29</f>
        <v>2283.48</v>
      </c>
      <c r="H29" s="24">
        <f t="shared" si="2"/>
        <v>0</v>
      </c>
      <c r="I29" s="50"/>
    </row>
    <row r="30" spans="2:14" ht="56.25">
      <c r="B30" s="28" t="s">
        <v>88</v>
      </c>
      <c r="C30" s="5" t="s">
        <v>96</v>
      </c>
      <c r="D30" s="20" t="s">
        <v>83</v>
      </c>
      <c r="E30" s="6">
        <v>4</v>
      </c>
      <c r="F30" s="22">
        <v>30446.400000000001</v>
      </c>
      <c r="G30" s="4">
        <v>39684</v>
      </c>
      <c r="H30" s="24">
        <f>F30-G30</f>
        <v>-9237.5999999999985</v>
      </c>
      <c r="I30" s="50"/>
      <c r="L30" s="10"/>
    </row>
    <row r="31" spans="2:14" ht="16.5" thickBot="1">
      <c r="B31" s="70" t="s">
        <v>73</v>
      </c>
      <c r="C31" s="32" t="s">
        <v>86</v>
      </c>
      <c r="D31" s="33" t="s">
        <v>83</v>
      </c>
      <c r="E31" s="34">
        <v>1.05</v>
      </c>
      <c r="F31" s="22">
        <f t="shared" si="0"/>
        <v>7992.18</v>
      </c>
      <c r="G31" s="23">
        <f t="shared" ref="G31" si="4">$N$22/$N$23*E31</f>
        <v>7992.18</v>
      </c>
      <c r="H31" s="35">
        <f>F31-G31</f>
        <v>0</v>
      </c>
      <c r="I31" s="50"/>
    </row>
    <row r="32" spans="2:14" ht="16.5" thickBot="1">
      <c r="B32" s="72" t="s">
        <v>74</v>
      </c>
      <c r="C32" s="37"/>
      <c r="D32" s="37"/>
      <c r="E32" s="38">
        <f>SUM(E23:E31)</f>
        <v>21.2</v>
      </c>
      <c r="F32" s="39">
        <f>SUM(F23:F31)</f>
        <v>159463.02000000002</v>
      </c>
      <c r="G32" s="40">
        <f>SUM(G23:G31)</f>
        <v>168360.81642857142</v>
      </c>
      <c r="H32" s="41">
        <f>SUM(H23:H31)</f>
        <v>-8897.7964285714279</v>
      </c>
      <c r="I32" s="100"/>
    </row>
    <row r="33" spans="2:14">
      <c r="B33" s="10"/>
      <c r="C33" s="10"/>
      <c r="D33" s="10"/>
      <c r="E33" s="132"/>
      <c r="F33" s="132"/>
      <c r="G33" s="132"/>
      <c r="H33" s="133"/>
    </row>
    <row r="34" spans="2:14" ht="16.5" customHeight="1" thickBot="1">
      <c r="B34" s="192" t="s">
        <v>135</v>
      </c>
      <c r="C34" s="192"/>
      <c r="D34" s="192"/>
      <c r="E34" s="192"/>
      <c r="F34" s="192"/>
      <c r="G34" s="192"/>
      <c r="H34" s="192"/>
      <c r="I34" s="76"/>
      <c r="J34" s="76"/>
    </row>
    <row r="35" spans="2:14" ht="44.25" customHeight="1" thickBot="1">
      <c r="B35" s="88" t="s">
        <v>136</v>
      </c>
      <c r="C35" s="135" t="s">
        <v>89</v>
      </c>
      <c r="D35" s="136"/>
      <c r="E35" s="147" t="s">
        <v>10</v>
      </c>
      <c r="F35" s="148"/>
      <c r="G35" s="147" t="s">
        <v>11</v>
      </c>
      <c r="H35" s="163"/>
      <c r="I35" s="77"/>
      <c r="J35" s="81"/>
      <c r="K35" s="45"/>
      <c r="L35" s="46"/>
      <c r="M35" s="106"/>
      <c r="N35" s="106"/>
    </row>
    <row r="36" spans="2:14">
      <c r="B36" s="89" t="s">
        <v>12</v>
      </c>
      <c r="C36" s="137">
        <f>E36+G36</f>
        <v>1449457.8110268805</v>
      </c>
      <c r="D36" s="138"/>
      <c r="E36" s="173">
        <f>F23+F24+F25+F26+F27+F28+F29+F31+E15</f>
        <v>1192100.6910268804</v>
      </c>
      <c r="F36" s="174"/>
      <c r="G36" s="173">
        <f>F30+G15</f>
        <v>257357.12000000002</v>
      </c>
      <c r="H36" s="175"/>
      <c r="I36" s="79"/>
      <c r="J36" s="82"/>
      <c r="K36" s="7"/>
      <c r="L36" s="7"/>
      <c r="M36" s="107"/>
    </row>
    <row r="37" spans="2:14">
      <c r="B37" s="47" t="s">
        <v>13</v>
      </c>
      <c r="C37" s="142">
        <f>E37+G37</f>
        <v>1380660.3900000004</v>
      </c>
      <c r="D37" s="143"/>
      <c r="E37" s="142">
        <f>E16+117008.19</f>
        <v>1140364.7800000003</v>
      </c>
      <c r="F37" s="143"/>
      <c r="G37" s="142">
        <f>G16+27211.21</f>
        <v>240295.61000000002</v>
      </c>
      <c r="H37" s="144"/>
      <c r="I37" s="79"/>
      <c r="J37" s="82"/>
      <c r="K37" s="9"/>
      <c r="L37" s="7"/>
      <c r="M37" s="107"/>
    </row>
    <row r="38" spans="2:14" ht="16.5" thickBot="1">
      <c r="B38" s="49" t="s">
        <v>63</v>
      </c>
      <c r="C38" s="145">
        <f>E38+G38</f>
        <v>1451854.6915513657</v>
      </c>
      <c r="D38" s="146"/>
      <c r="E38" s="170">
        <f>G23+G24+G25+G26+G27+G28+G29+G31+E17</f>
        <v>1200835.6915513657</v>
      </c>
      <c r="F38" s="171"/>
      <c r="G38" s="170">
        <f>G30+G17</f>
        <v>251019</v>
      </c>
      <c r="H38" s="172"/>
      <c r="I38" s="79"/>
      <c r="J38" s="82"/>
      <c r="K38" s="50"/>
      <c r="L38" s="50"/>
    </row>
    <row r="39" spans="2:14" ht="36.75" thickBot="1">
      <c r="B39" s="11" t="s">
        <v>116</v>
      </c>
      <c r="C39" s="161">
        <f>E39+G39</f>
        <v>-71194.301551365381</v>
      </c>
      <c r="D39" s="162"/>
      <c r="E39" s="139">
        <f>E37-E38</f>
        <v>-60470.911551365396</v>
      </c>
      <c r="F39" s="140"/>
      <c r="G39" s="139">
        <f>G37-G38</f>
        <v>-10723.389999999985</v>
      </c>
      <c r="H39" s="141"/>
      <c r="I39" s="79"/>
      <c r="J39" s="82"/>
      <c r="K39" s="50"/>
      <c r="L39" s="50"/>
    </row>
    <row r="40" spans="2:14" ht="29.25" customHeight="1">
      <c r="B40" s="124" t="s">
        <v>64</v>
      </c>
      <c r="C40" s="167" t="s">
        <v>121</v>
      </c>
      <c r="D40" s="167"/>
      <c r="E40" s="167"/>
      <c r="F40" s="165" t="s">
        <v>126</v>
      </c>
      <c r="G40" s="165"/>
      <c r="H40" s="80"/>
      <c r="I40" s="80"/>
      <c r="J40" s="2"/>
      <c r="K40" s="2"/>
      <c r="L40" s="2"/>
      <c r="M40" s="105"/>
      <c r="N40" s="105"/>
    </row>
    <row r="41" spans="2:14" ht="9.75" customHeight="1">
      <c r="B41" s="124"/>
      <c r="C41" s="124"/>
      <c r="D41" s="124"/>
      <c r="E41" s="125"/>
      <c r="F41" s="166"/>
      <c r="G41" s="166"/>
      <c r="H41" s="80"/>
      <c r="I41" s="80"/>
      <c r="J41" s="2"/>
      <c r="K41" s="2"/>
      <c r="L41" s="2"/>
      <c r="M41" s="105"/>
      <c r="N41" s="105"/>
    </row>
    <row r="42" spans="2:14">
      <c r="B42" s="124" t="s">
        <v>65</v>
      </c>
      <c r="C42" s="167" t="s">
        <v>121</v>
      </c>
      <c r="D42" s="167"/>
      <c r="E42" s="167"/>
      <c r="F42" s="165" t="s">
        <v>76</v>
      </c>
      <c r="G42" s="165"/>
      <c r="H42" s="80"/>
      <c r="I42" s="80"/>
      <c r="J42" s="2"/>
      <c r="K42" s="2"/>
      <c r="L42" s="2"/>
      <c r="M42" s="105"/>
      <c r="N42" s="105"/>
    </row>
    <row r="43" spans="2:14" ht="6.75" customHeight="1">
      <c r="B43" s="124"/>
      <c r="C43" s="124"/>
      <c r="D43" s="124"/>
      <c r="E43" s="125"/>
      <c r="F43" s="165"/>
      <c r="G43" s="165"/>
      <c r="H43" s="80"/>
      <c r="I43" s="80"/>
    </row>
    <row r="44" spans="2:14">
      <c r="B44" s="124" t="s">
        <v>66</v>
      </c>
      <c r="C44" s="167" t="s">
        <v>121</v>
      </c>
      <c r="D44" s="167"/>
      <c r="E44" s="167"/>
      <c r="F44" s="165" t="s">
        <v>127</v>
      </c>
      <c r="G44" s="165"/>
      <c r="H44" s="80"/>
      <c r="I44" s="80"/>
    </row>
    <row r="45" spans="2:14" ht="9.75" customHeight="1">
      <c r="B45" s="51"/>
      <c r="C45" s="51"/>
      <c r="D45" s="51"/>
      <c r="E45" s="125"/>
      <c r="F45" s="52"/>
      <c r="G45" s="53"/>
      <c r="H45" s="54"/>
      <c r="I45" s="8"/>
    </row>
    <row r="46" spans="2:14">
      <c r="B46" s="124" t="s">
        <v>67</v>
      </c>
      <c r="C46" s="167" t="s">
        <v>121</v>
      </c>
      <c r="D46" s="167"/>
      <c r="E46" s="167"/>
      <c r="F46" s="165" t="s">
        <v>127</v>
      </c>
      <c r="G46" s="165"/>
      <c r="H46" s="80"/>
      <c r="I46" s="80"/>
    </row>
    <row r="47" spans="2:14" ht="7.5" customHeight="1">
      <c r="C47" s="3"/>
      <c r="D47" s="3"/>
      <c r="E47" s="129"/>
      <c r="F47" s="190"/>
      <c r="G47" s="190"/>
      <c r="H47" s="133"/>
      <c r="I47" s="133"/>
    </row>
  </sheetData>
  <mergeCells count="55">
    <mergeCell ref="C18:D18"/>
    <mergeCell ref="E18:F18"/>
    <mergeCell ref="G18:H18"/>
    <mergeCell ref="M20:M21"/>
    <mergeCell ref="N20:N21"/>
    <mergeCell ref="G15:H15"/>
    <mergeCell ref="C16:D16"/>
    <mergeCell ref="E16:F16"/>
    <mergeCell ref="G16:H16"/>
    <mergeCell ref="C17:D17"/>
    <mergeCell ref="E17:F17"/>
    <mergeCell ref="G17:H17"/>
    <mergeCell ref="F46:G46"/>
    <mergeCell ref="F47:G47"/>
    <mergeCell ref="E36:F36"/>
    <mergeCell ref="F43:G43"/>
    <mergeCell ref="E37:F37"/>
    <mergeCell ref="F44:G44"/>
    <mergeCell ref="F41:G41"/>
    <mergeCell ref="F42:G42"/>
    <mergeCell ref="G39:H39"/>
    <mergeCell ref="F40:G40"/>
    <mergeCell ref="C40:E40"/>
    <mergeCell ref="C42:E42"/>
    <mergeCell ref="C44:E44"/>
    <mergeCell ref="C46:E46"/>
    <mergeCell ref="C38:D38"/>
    <mergeCell ref="C39:D39"/>
    <mergeCell ref="G37:H37"/>
    <mergeCell ref="G38:H38"/>
    <mergeCell ref="B34:H34"/>
    <mergeCell ref="G35:H35"/>
    <mergeCell ref="G36:H36"/>
    <mergeCell ref="E38:F38"/>
    <mergeCell ref="E39:F39"/>
    <mergeCell ref="C35:D35"/>
    <mergeCell ref="C36:D36"/>
    <mergeCell ref="C37:D37"/>
    <mergeCell ref="E35:F35"/>
    <mergeCell ref="B1:H1"/>
    <mergeCell ref="B2:H3"/>
    <mergeCell ref="B20:H20"/>
    <mergeCell ref="B21:B22"/>
    <mergeCell ref="C21:C22"/>
    <mergeCell ref="D21:D22"/>
    <mergeCell ref="E21:E22"/>
    <mergeCell ref="F21:G21"/>
    <mergeCell ref="H21:H22"/>
    <mergeCell ref="D5:E5"/>
    <mergeCell ref="B13:H13"/>
    <mergeCell ref="C14:D14"/>
    <mergeCell ref="E14:F14"/>
    <mergeCell ref="G14:H14"/>
    <mergeCell ref="C15:D15"/>
    <mergeCell ref="E15:F15"/>
  </mergeCells>
  <printOptions horizontalCentered="1"/>
  <pageMargins left="0.19685039370078741" right="0.19685039370078741" top="0.16" bottom="0.23622047244094491" header="0.16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P49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5.7109375" style="3" customWidth="1"/>
    <col min="3" max="3" width="24.28515625" style="56" customWidth="1"/>
    <col min="4" max="4" width="8.85546875" style="133" customWidth="1"/>
    <col min="5" max="5" width="10.140625" style="133" customWidth="1"/>
    <col min="6" max="6" width="10" style="3" customWidth="1"/>
    <col min="7" max="7" width="10.28515625" style="3" customWidth="1"/>
    <col min="8" max="8" width="11" style="3" customWidth="1"/>
    <col min="9" max="12" width="9.140625" style="3"/>
    <col min="13" max="13" width="13.42578125" style="102" customWidth="1"/>
    <col min="14" max="14" width="13.7109375" style="102" customWidth="1"/>
    <col min="15" max="16384" width="9.140625" style="3"/>
  </cols>
  <sheetData>
    <row r="1" spans="2:8">
      <c r="B1" s="150" t="s">
        <v>91</v>
      </c>
      <c r="C1" s="150"/>
      <c r="D1" s="150"/>
      <c r="E1" s="150"/>
      <c r="F1" s="150"/>
      <c r="G1" s="150"/>
      <c r="H1" s="150"/>
    </row>
    <row r="2" spans="2:8" ht="19.5" customHeight="1">
      <c r="B2" s="200" t="s">
        <v>137</v>
      </c>
      <c r="C2" s="200"/>
      <c r="D2" s="200"/>
      <c r="E2" s="200"/>
      <c r="F2" s="200"/>
      <c r="G2" s="200"/>
      <c r="H2" s="200"/>
    </row>
    <row r="3" spans="2:8" ht="20.25" customHeight="1">
      <c r="B3" s="200"/>
      <c r="C3" s="200"/>
      <c r="D3" s="200"/>
      <c r="E3" s="200"/>
      <c r="F3" s="200"/>
      <c r="G3" s="200"/>
      <c r="H3" s="200"/>
    </row>
    <row r="4" spans="2:8" ht="12.75" customHeight="1"/>
    <row r="5" spans="2:8">
      <c r="B5" s="3" t="s">
        <v>0</v>
      </c>
      <c r="D5" s="159" t="s">
        <v>16</v>
      </c>
      <c r="E5" s="159"/>
    </row>
    <row r="6" spans="2:8">
      <c r="B6" s="3" t="s">
        <v>1</v>
      </c>
      <c r="D6" s="128">
        <v>1966</v>
      </c>
      <c r="E6" s="128"/>
    </row>
    <row r="7" spans="2:8" hidden="1" outlineLevel="1">
      <c r="B7" s="3" t="s">
        <v>2</v>
      </c>
      <c r="D7" s="128">
        <v>2</v>
      </c>
      <c r="E7" s="128"/>
    </row>
    <row r="8" spans="2:8" hidden="1" outlineLevel="1">
      <c r="B8" s="3" t="s">
        <v>3</v>
      </c>
      <c r="D8" s="128">
        <v>16</v>
      </c>
      <c r="E8" s="128"/>
    </row>
    <row r="9" spans="2:8" ht="30.75" hidden="1" customHeight="1" outlineLevel="1">
      <c r="B9" s="13" t="s">
        <v>4</v>
      </c>
      <c r="C9" s="57"/>
      <c r="D9" s="128" t="s">
        <v>15</v>
      </c>
      <c r="E9" s="128"/>
    </row>
    <row r="10" spans="2:8" collapsed="1">
      <c r="B10" s="3" t="s">
        <v>5</v>
      </c>
      <c r="D10" s="128" t="s">
        <v>99</v>
      </c>
      <c r="E10" s="128"/>
      <c r="H10" s="10"/>
    </row>
    <row r="11" spans="2:8" hidden="1" outlineLevel="1">
      <c r="B11" s="3" t="s">
        <v>6</v>
      </c>
      <c r="D11" s="128" t="s">
        <v>7</v>
      </c>
      <c r="E11" s="128"/>
    </row>
    <row r="12" spans="2:8" ht="30.75" hidden="1" customHeight="1" outlineLevel="1">
      <c r="B12" s="13" t="s">
        <v>8</v>
      </c>
      <c r="C12" s="57"/>
      <c r="D12" s="101" t="s">
        <v>9</v>
      </c>
      <c r="E12" s="128"/>
      <c r="H12" s="10"/>
    </row>
    <row r="13" spans="2:8" outlineLevel="1">
      <c r="B13" s="13"/>
      <c r="C13" s="57"/>
      <c r="D13" s="101"/>
      <c r="E13" s="128"/>
      <c r="H13" s="10"/>
    </row>
    <row r="14" spans="2:8" ht="16.5" outlineLevel="1" thickBot="1">
      <c r="B14" s="192" t="s">
        <v>129</v>
      </c>
      <c r="C14" s="192"/>
      <c r="D14" s="192"/>
      <c r="E14" s="192"/>
      <c r="F14" s="192"/>
      <c r="G14" s="192"/>
      <c r="H14" s="192"/>
    </row>
    <row r="15" spans="2:8" ht="45.75" customHeight="1" outlineLevel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</row>
    <row r="16" spans="2:8" outlineLevel="1">
      <c r="B16" s="89" t="s">
        <v>12</v>
      </c>
      <c r="C16" s="137">
        <v>1259825.9272714325</v>
      </c>
      <c r="D16" s="176"/>
      <c r="E16" s="173">
        <v>994630.51727143244</v>
      </c>
      <c r="F16" s="174"/>
      <c r="G16" s="173">
        <v>265195.41000000003</v>
      </c>
      <c r="H16" s="175"/>
    </row>
    <row r="17" spans="2:14" outlineLevel="1">
      <c r="B17" s="47" t="s">
        <v>13</v>
      </c>
      <c r="C17" s="142">
        <v>1027882.07</v>
      </c>
      <c r="D17" s="177"/>
      <c r="E17" s="142">
        <v>816015.66999999993</v>
      </c>
      <c r="F17" s="143"/>
      <c r="G17" s="142">
        <v>211866.40000000002</v>
      </c>
      <c r="H17" s="144"/>
    </row>
    <row r="18" spans="2:14" ht="16.5" outlineLevel="1" thickBot="1">
      <c r="B18" s="49" t="s">
        <v>63</v>
      </c>
      <c r="C18" s="145">
        <v>1207842.6701043185</v>
      </c>
      <c r="D18" s="178"/>
      <c r="E18" s="170">
        <v>990627.38010431861</v>
      </c>
      <c r="F18" s="171"/>
      <c r="G18" s="170">
        <v>217215.29</v>
      </c>
      <c r="H18" s="172"/>
    </row>
    <row r="19" spans="2:14" ht="36.75" outlineLevel="1" thickBot="1">
      <c r="B19" s="11" t="s">
        <v>115</v>
      </c>
      <c r="C19" s="161">
        <f>E19+G19</f>
        <v>-179960.60010431867</v>
      </c>
      <c r="D19" s="162"/>
      <c r="E19" s="139">
        <f>E17-E18</f>
        <v>-174611.71010431868</v>
      </c>
      <c r="F19" s="140"/>
      <c r="G19" s="139">
        <f>G17-G18</f>
        <v>-5348.8899999999849</v>
      </c>
      <c r="H19" s="141"/>
    </row>
    <row r="20" spans="2:14" outlineLevel="1">
      <c r="B20" s="13"/>
      <c r="C20" s="57"/>
      <c r="D20" s="101"/>
      <c r="E20" s="128"/>
      <c r="H20" s="10"/>
    </row>
    <row r="21" spans="2:14" ht="24.75" customHeight="1" thickBot="1">
      <c r="B21" s="208" t="s">
        <v>133</v>
      </c>
      <c r="C21" s="208"/>
      <c r="D21" s="208"/>
      <c r="E21" s="208"/>
      <c r="F21" s="208"/>
      <c r="G21" s="208"/>
      <c r="H21" s="208"/>
      <c r="I21" s="15"/>
      <c r="J21" s="15"/>
      <c r="L21" s="10"/>
      <c r="M21" s="168" t="s">
        <v>117</v>
      </c>
      <c r="N21" s="168" t="s">
        <v>118</v>
      </c>
    </row>
    <row r="22" spans="2:14" ht="27.75" customHeight="1">
      <c r="B22" s="151" t="s">
        <v>77</v>
      </c>
      <c r="C22" s="153" t="s">
        <v>78</v>
      </c>
      <c r="D22" s="153" t="s">
        <v>79</v>
      </c>
      <c r="E22" s="195" t="s">
        <v>134</v>
      </c>
      <c r="F22" s="155" t="s">
        <v>80</v>
      </c>
      <c r="G22" s="156"/>
      <c r="H22" s="157" t="s">
        <v>98</v>
      </c>
      <c r="I22" s="16"/>
      <c r="J22" s="16"/>
      <c r="L22" s="10"/>
      <c r="M22" s="169"/>
      <c r="N22" s="169"/>
    </row>
    <row r="23" spans="2:14" ht="45" customHeight="1" thickBot="1">
      <c r="B23" s="152"/>
      <c r="C23" s="154"/>
      <c r="D23" s="154"/>
      <c r="E23" s="196"/>
      <c r="F23" s="17" t="s">
        <v>68</v>
      </c>
      <c r="G23" s="18" t="s">
        <v>69</v>
      </c>
      <c r="H23" s="158"/>
      <c r="I23" s="16"/>
      <c r="J23" s="16"/>
      <c r="M23" s="103">
        <v>134027.43</v>
      </c>
      <c r="N23" s="103">
        <f>M23</f>
        <v>134027.43</v>
      </c>
    </row>
    <row r="24" spans="2:14" ht="50.25" customHeight="1">
      <c r="B24" s="19" t="s">
        <v>81</v>
      </c>
      <c r="C24" s="5" t="s">
        <v>96</v>
      </c>
      <c r="D24" s="20" t="s">
        <v>83</v>
      </c>
      <c r="E24" s="21">
        <v>3.42</v>
      </c>
      <c r="F24" s="22">
        <f>$M$23/$M$24*E24</f>
        <v>25970.187569405094</v>
      </c>
      <c r="G24" s="23">
        <f>$N$23/$N$24*E24</f>
        <v>25970.187569405094</v>
      </c>
      <c r="H24" s="24">
        <f>F24-G24</f>
        <v>0</v>
      </c>
      <c r="I24" s="25"/>
      <c r="J24" s="25"/>
      <c r="K24" s="130"/>
      <c r="L24" s="26"/>
      <c r="M24" s="104">
        <f>E33-E31</f>
        <v>17.650000000000002</v>
      </c>
      <c r="N24" s="104">
        <f>E33-E31</f>
        <v>17.650000000000002</v>
      </c>
    </row>
    <row r="25" spans="2:14" ht="51">
      <c r="B25" s="27" t="s">
        <v>75</v>
      </c>
      <c r="C25" s="5" t="s">
        <v>96</v>
      </c>
      <c r="D25" s="20" t="s">
        <v>83</v>
      </c>
      <c r="E25" s="6">
        <v>0</v>
      </c>
      <c r="F25" s="22">
        <f>$M$23/$M$24*E25</f>
        <v>0</v>
      </c>
      <c r="G25" s="23">
        <f>$N$23/$N$24*E25</f>
        <v>0</v>
      </c>
      <c r="H25" s="24">
        <f t="shared" ref="H25:H30" si="0">F25-G25</f>
        <v>0</v>
      </c>
      <c r="I25" s="25"/>
      <c r="J25" s="25"/>
      <c r="K25" s="2"/>
      <c r="L25" s="2"/>
      <c r="M25" s="105"/>
      <c r="N25" s="105"/>
    </row>
    <row r="26" spans="2:14" ht="52.5" customHeight="1">
      <c r="B26" s="28" t="s">
        <v>70</v>
      </c>
      <c r="C26" s="5" t="s">
        <v>96</v>
      </c>
      <c r="D26" s="20" t="s">
        <v>83</v>
      </c>
      <c r="E26" s="6">
        <v>0.35</v>
      </c>
      <c r="F26" s="22">
        <f t="shared" ref="F26:F32" si="1">$M$23/$M$24*E26</f>
        <v>2657.7677337110476</v>
      </c>
      <c r="G26" s="23">
        <f t="shared" ref="G26:G29" si="2">$N$23/$N$24*E26</f>
        <v>2657.7677337110476</v>
      </c>
      <c r="H26" s="24">
        <f t="shared" si="0"/>
        <v>0</v>
      </c>
      <c r="I26" s="25"/>
      <c r="J26" s="25"/>
      <c r="L26" s="10"/>
    </row>
    <row r="27" spans="2:14" ht="25.5">
      <c r="B27" s="28" t="s">
        <v>84</v>
      </c>
      <c r="C27" s="29" t="s">
        <v>85</v>
      </c>
      <c r="D27" s="20" t="s">
        <v>83</v>
      </c>
      <c r="E27" s="6">
        <v>0.77</v>
      </c>
      <c r="F27" s="22">
        <f>($M$23/12*2)/$M$24*E27</f>
        <v>974.51483569405082</v>
      </c>
      <c r="G27" s="23">
        <f>($N$23/12*2)/$N$24*E27</f>
        <v>974.51483569405082</v>
      </c>
      <c r="H27" s="24">
        <f t="shared" si="0"/>
        <v>0</v>
      </c>
      <c r="I27" s="25"/>
      <c r="J27" s="25"/>
      <c r="L27" s="10"/>
    </row>
    <row r="28" spans="2:14" ht="51">
      <c r="B28" s="27" t="s">
        <v>71</v>
      </c>
      <c r="C28" s="5" t="s">
        <v>97</v>
      </c>
      <c r="D28" s="20" t="s">
        <v>83</v>
      </c>
      <c r="E28" s="6">
        <v>2</v>
      </c>
      <c r="F28" s="22">
        <f t="shared" si="1"/>
        <v>15187.244192634558</v>
      </c>
      <c r="G28" s="23">
        <f t="shared" si="2"/>
        <v>15187.244192634558</v>
      </c>
      <c r="H28" s="24">
        <f t="shared" si="0"/>
        <v>0</v>
      </c>
      <c r="I28" s="25"/>
      <c r="J28" s="25"/>
    </row>
    <row r="29" spans="2:14" ht="212.25" customHeight="1">
      <c r="B29" s="27" t="s">
        <v>94</v>
      </c>
      <c r="C29" s="30" t="s">
        <v>86</v>
      </c>
      <c r="D29" s="20" t="s">
        <v>83</v>
      </c>
      <c r="E29" s="6">
        <v>8.85</v>
      </c>
      <c r="F29" s="22">
        <f t="shared" si="1"/>
        <v>67203.555552407925</v>
      </c>
      <c r="G29" s="23">
        <f t="shared" si="2"/>
        <v>67203.555552407925</v>
      </c>
      <c r="H29" s="24">
        <f t="shared" si="0"/>
        <v>0</v>
      </c>
      <c r="I29" s="25"/>
      <c r="J29" s="25"/>
      <c r="K29" s="2"/>
      <c r="L29" s="1"/>
      <c r="M29" s="105"/>
      <c r="N29" s="105"/>
    </row>
    <row r="30" spans="2:14" ht="108.75" customHeight="1">
      <c r="B30" s="27" t="s">
        <v>87</v>
      </c>
      <c r="C30" s="5" t="s">
        <v>96</v>
      </c>
      <c r="D30" s="20" t="s">
        <v>83</v>
      </c>
      <c r="E30" s="6">
        <v>0.8</v>
      </c>
      <c r="F30" s="22">
        <f t="shared" si="1"/>
        <v>6074.8976770538238</v>
      </c>
      <c r="G30" s="23">
        <f t="shared" ref="G30" si="3">$N$23/$N$24*E30</f>
        <v>6074.8976770538238</v>
      </c>
      <c r="H30" s="24">
        <f t="shared" si="0"/>
        <v>0</v>
      </c>
      <c r="I30" s="25"/>
      <c r="J30" s="25"/>
    </row>
    <row r="31" spans="2:14" ht="45">
      <c r="B31" s="28" t="s">
        <v>88</v>
      </c>
      <c r="C31" s="5" t="s">
        <v>96</v>
      </c>
      <c r="D31" s="20" t="s">
        <v>83</v>
      </c>
      <c r="E31" s="6">
        <v>4.3</v>
      </c>
      <c r="F31" s="22">
        <v>32652.57</v>
      </c>
      <c r="G31" s="4">
        <v>6294</v>
      </c>
      <c r="H31" s="24">
        <f>F31-G31</f>
        <v>26358.57</v>
      </c>
      <c r="I31" s="25"/>
      <c r="J31" s="25"/>
      <c r="L31" s="10"/>
    </row>
    <row r="32" spans="2:14" ht="16.5" thickBot="1">
      <c r="B32" s="31" t="s">
        <v>73</v>
      </c>
      <c r="C32" s="32" t="s">
        <v>86</v>
      </c>
      <c r="D32" s="33" t="s">
        <v>83</v>
      </c>
      <c r="E32" s="34">
        <v>1.46</v>
      </c>
      <c r="F32" s="22">
        <f t="shared" si="1"/>
        <v>11086.688260623227</v>
      </c>
      <c r="G32" s="23">
        <f t="shared" ref="G32" si="4">$N$23/$N$24*E32</f>
        <v>11086.688260623227</v>
      </c>
      <c r="H32" s="35">
        <f>F32-G32</f>
        <v>0</v>
      </c>
      <c r="I32" s="25"/>
      <c r="J32" s="25"/>
    </row>
    <row r="33" spans="2:16" ht="16.5" thickBot="1">
      <c r="B33" s="36" t="s">
        <v>74</v>
      </c>
      <c r="C33" s="37"/>
      <c r="D33" s="37"/>
      <c r="E33" s="38">
        <f>SUM(E24:E32)</f>
        <v>21.950000000000003</v>
      </c>
      <c r="F33" s="39">
        <f>SUM(F24:F32)</f>
        <v>161807.42582152973</v>
      </c>
      <c r="G33" s="40">
        <f>SUM(G24:G32)</f>
        <v>135448.85582152975</v>
      </c>
      <c r="H33" s="41">
        <f>SUM(H24:H32)</f>
        <v>26358.57</v>
      </c>
      <c r="I33" s="42"/>
      <c r="J33" s="42"/>
    </row>
    <row r="34" spans="2:16">
      <c r="B34" s="10"/>
      <c r="C34" s="10"/>
      <c r="D34" s="10"/>
      <c r="E34" s="132"/>
      <c r="F34" s="132"/>
      <c r="G34" s="132"/>
      <c r="H34" s="133"/>
      <c r="I34" s="133"/>
      <c r="J34" s="133"/>
    </row>
    <row r="35" spans="2:16" ht="16.5" customHeight="1" thickBot="1">
      <c r="B35" s="192" t="s">
        <v>135</v>
      </c>
      <c r="C35" s="192"/>
      <c r="D35" s="192"/>
      <c r="E35" s="192"/>
      <c r="F35" s="192"/>
      <c r="G35" s="192"/>
      <c r="H35" s="192"/>
      <c r="I35" s="43"/>
      <c r="J35" s="43"/>
    </row>
    <row r="36" spans="2:16" ht="44.25" customHeight="1" thickBot="1">
      <c r="B36" s="88" t="s">
        <v>136</v>
      </c>
      <c r="C36" s="135" t="s">
        <v>89</v>
      </c>
      <c r="D36" s="136"/>
      <c r="E36" s="147" t="s">
        <v>10</v>
      </c>
      <c r="F36" s="148"/>
      <c r="G36" s="147" t="s">
        <v>11</v>
      </c>
      <c r="H36" s="163"/>
      <c r="I36" s="44"/>
      <c r="J36" s="44"/>
      <c r="K36" s="124"/>
      <c r="L36" s="124"/>
      <c r="M36" s="108"/>
      <c r="N36" s="109"/>
      <c r="O36" s="165"/>
      <c r="P36" s="165"/>
    </row>
    <row r="37" spans="2:16">
      <c r="B37" s="89" t="s">
        <v>12</v>
      </c>
      <c r="C37" s="137">
        <f>E37+G37</f>
        <v>1421633.3530929622</v>
      </c>
      <c r="D37" s="138"/>
      <c r="E37" s="173">
        <f>F24+F25+F26+F27+F28+F29+F30+F32+E16</f>
        <v>1123785.3730929622</v>
      </c>
      <c r="F37" s="174"/>
      <c r="G37" s="173">
        <f>F31+G16</f>
        <v>297847.98000000004</v>
      </c>
      <c r="H37" s="175"/>
      <c r="I37" s="48"/>
      <c r="J37" s="48"/>
      <c r="K37" s="124"/>
      <c r="L37" s="124"/>
      <c r="M37" s="108"/>
      <c r="N37" s="110"/>
      <c r="O37" s="166"/>
      <c r="P37" s="166"/>
    </row>
    <row r="38" spans="2:16">
      <c r="B38" s="47" t="s">
        <v>13</v>
      </c>
      <c r="C38" s="142">
        <f>E38+G38</f>
        <v>1172042.01</v>
      </c>
      <c r="D38" s="143"/>
      <c r="E38" s="142">
        <f>E17+115919.04</f>
        <v>931934.71</v>
      </c>
      <c r="F38" s="143"/>
      <c r="G38" s="142">
        <f>G17+28240.9</f>
        <v>240107.30000000002</v>
      </c>
      <c r="H38" s="144"/>
      <c r="I38" s="48"/>
      <c r="J38" s="48"/>
      <c r="K38" s="124"/>
      <c r="L38" s="124"/>
      <c r="M38" s="108"/>
      <c r="N38" s="111"/>
      <c r="O38" s="165"/>
      <c r="P38" s="165"/>
    </row>
    <row r="39" spans="2:16" ht="16.5" thickBot="1">
      <c r="B39" s="49" t="s">
        <v>63</v>
      </c>
      <c r="C39" s="145">
        <f>E39+G39</f>
        <v>1343291.5259258484</v>
      </c>
      <c r="D39" s="146"/>
      <c r="E39" s="170">
        <f>G24+G25+G26+G27+G28+G29+G30+G32+E18</f>
        <v>1119782.2359258484</v>
      </c>
      <c r="F39" s="171"/>
      <c r="G39" s="170">
        <f>G31+G18</f>
        <v>223509.29</v>
      </c>
      <c r="H39" s="172"/>
      <c r="I39" s="48"/>
      <c r="J39" s="48"/>
      <c r="K39" s="124"/>
      <c r="L39" s="124"/>
      <c r="M39" s="108"/>
      <c r="N39" s="110"/>
      <c r="O39" s="165"/>
      <c r="P39" s="165"/>
    </row>
    <row r="40" spans="2:16" ht="33.75" customHeight="1" thickBot="1">
      <c r="B40" s="11" t="s">
        <v>116</v>
      </c>
      <c r="C40" s="161">
        <f>E40+G40</f>
        <v>-171249.51592584839</v>
      </c>
      <c r="D40" s="162"/>
      <c r="E40" s="139">
        <f>E38-E39</f>
        <v>-187847.5259258484</v>
      </c>
      <c r="F40" s="140"/>
      <c r="G40" s="139">
        <f>G38-G39</f>
        <v>16598.010000000009</v>
      </c>
      <c r="H40" s="141"/>
      <c r="I40" s="48"/>
      <c r="J40" s="48"/>
      <c r="K40" s="124"/>
      <c r="L40" s="124"/>
      <c r="M40" s="108"/>
      <c r="N40" s="111"/>
      <c r="O40" s="165"/>
      <c r="P40" s="165"/>
    </row>
    <row r="41" spans="2:16" ht="34.5" customHeight="1">
      <c r="B41" s="124" t="s">
        <v>64</v>
      </c>
      <c r="C41" s="167" t="s">
        <v>121</v>
      </c>
      <c r="D41" s="167"/>
      <c r="E41" s="167"/>
      <c r="F41" s="165" t="s">
        <v>126</v>
      </c>
      <c r="G41" s="165"/>
      <c r="H41" s="124"/>
      <c r="I41" s="124"/>
      <c r="J41" s="124"/>
      <c r="K41" s="51"/>
      <c r="L41" s="51"/>
      <c r="M41" s="112"/>
      <c r="N41" s="110"/>
      <c r="O41" s="52"/>
      <c r="P41" s="53"/>
    </row>
    <row r="42" spans="2:16" ht="11.25" customHeight="1">
      <c r="B42" s="124"/>
      <c r="C42" s="124"/>
      <c r="D42" s="124"/>
      <c r="E42" s="125"/>
      <c r="F42" s="166"/>
      <c r="G42" s="166"/>
      <c r="H42" s="126"/>
      <c r="I42" s="126"/>
      <c r="J42" s="126"/>
      <c r="K42" s="124"/>
      <c r="L42" s="124"/>
      <c r="M42" s="108"/>
      <c r="N42" s="111"/>
      <c r="O42" s="165"/>
      <c r="P42" s="165"/>
    </row>
    <row r="43" spans="2:16">
      <c r="B43" s="124" t="s">
        <v>65</v>
      </c>
      <c r="C43" s="167" t="s">
        <v>121</v>
      </c>
      <c r="D43" s="167"/>
      <c r="E43" s="167"/>
      <c r="F43" s="165" t="s">
        <v>76</v>
      </c>
      <c r="G43" s="165"/>
      <c r="H43" s="124"/>
      <c r="I43" s="124"/>
      <c r="J43" s="124"/>
      <c r="K43" s="55"/>
      <c r="L43" s="55"/>
      <c r="M43" s="113"/>
      <c r="N43" s="110"/>
      <c r="O43" s="164"/>
      <c r="P43" s="164"/>
    </row>
    <row r="44" spans="2:16" ht="9.75" customHeight="1">
      <c r="B44" s="124"/>
      <c r="C44" s="124"/>
      <c r="D44" s="124"/>
      <c r="E44" s="125"/>
      <c r="F44" s="165"/>
      <c r="G44" s="165"/>
      <c r="H44" s="124"/>
      <c r="I44" s="124"/>
      <c r="J44" s="124"/>
      <c r="L44" s="132"/>
      <c r="M44" s="106"/>
      <c r="N44" s="114"/>
    </row>
    <row r="45" spans="2:16">
      <c r="B45" s="124" t="s">
        <v>66</v>
      </c>
      <c r="C45" s="167" t="s">
        <v>121</v>
      </c>
      <c r="D45" s="167"/>
      <c r="E45" s="167"/>
      <c r="F45" s="165" t="s">
        <v>127</v>
      </c>
      <c r="G45" s="165"/>
      <c r="H45" s="124"/>
      <c r="I45" s="124"/>
      <c r="J45" s="124"/>
    </row>
    <row r="46" spans="2:16" ht="8.25" customHeight="1">
      <c r="B46" s="51"/>
      <c r="C46" s="51"/>
      <c r="D46" s="51"/>
      <c r="E46" s="125"/>
      <c r="F46" s="52"/>
      <c r="G46" s="53"/>
      <c r="H46" s="54"/>
      <c r="I46" s="54"/>
      <c r="J46" s="54"/>
    </row>
    <row r="47" spans="2:16">
      <c r="B47" s="124" t="s">
        <v>67</v>
      </c>
      <c r="C47" s="167" t="s">
        <v>121</v>
      </c>
      <c r="D47" s="167"/>
      <c r="E47" s="167"/>
      <c r="F47" s="165" t="s">
        <v>127</v>
      </c>
      <c r="G47" s="165"/>
    </row>
    <row r="48" spans="2:16" ht="9" customHeight="1">
      <c r="B48" s="55"/>
      <c r="C48" s="55"/>
      <c r="D48" s="55"/>
      <c r="E48" s="125"/>
      <c r="F48" s="164"/>
      <c r="G48" s="164"/>
    </row>
    <row r="49" spans="3:5">
      <c r="C49" s="132"/>
      <c r="E49" s="129"/>
    </row>
  </sheetData>
  <mergeCells count="62">
    <mergeCell ref="O42:P42"/>
    <mergeCell ref="O43:P43"/>
    <mergeCell ref="C39:D39"/>
    <mergeCell ref="C40:D40"/>
    <mergeCell ref="O36:P36"/>
    <mergeCell ref="O37:P37"/>
    <mergeCell ref="O38:P38"/>
    <mergeCell ref="O39:P39"/>
    <mergeCell ref="O40:P40"/>
    <mergeCell ref="C41:E41"/>
    <mergeCell ref="C43:E43"/>
    <mergeCell ref="M21:M22"/>
    <mergeCell ref="N21:N22"/>
    <mergeCell ref="C36:D36"/>
    <mergeCell ref="C37:D37"/>
    <mergeCell ref="C38:D38"/>
    <mergeCell ref="B35:H35"/>
    <mergeCell ref="E36:F36"/>
    <mergeCell ref="G36:H36"/>
    <mergeCell ref="E37:F37"/>
    <mergeCell ref="G37:H37"/>
    <mergeCell ref="C15:D15"/>
    <mergeCell ref="C16:D16"/>
    <mergeCell ref="C17:D17"/>
    <mergeCell ref="C18:D18"/>
    <mergeCell ref="C19:D19"/>
    <mergeCell ref="F47:G47"/>
    <mergeCell ref="F48:G48"/>
    <mergeCell ref="G38:H38"/>
    <mergeCell ref="G39:H39"/>
    <mergeCell ref="G40:H40"/>
    <mergeCell ref="F41:G41"/>
    <mergeCell ref="F45:G45"/>
    <mergeCell ref="E38:F38"/>
    <mergeCell ref="E39:F39"/>
    <mergeCell ref="E40:F40"/>
    <mergeCell ref="F42:G42"/>
    <mergeCell ref="F43:G43"/>
    <mergeCell ref="F44:G44"/>
    <mergeCell ref="C45:E45"/>
    <mergeCell ref="C47:E47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B14:H14"/>
    <mergeCell ref="E15:F15"/>
    <mergeCell ref="G15:H15"/>
    <mergeCell ref="E16:F16"/>
    <mergeCell ref="D5:E5"/>
    <mergeCell ref="E19:F19"/>
    <mergeCell ref="G19:H19"/>
    <mergeCell ref="G16:H16"/>
    <mergeCell ref="E17:F17"/>
    <mergeCell ref="G17:H17"/>
    <mergeCell ref="E18:F18"/>
    <mergeCell ref="G18:H18"/>
  </mergeCells>
  <printOptions horizontalCentered="1"/>
  <pageMargins left="0.19685039370078741" right="0.19685039370078741" top="0.15748031496062992" bottom="0.23622047244094491" header="0.16" footer="0.25"/>
  <pageSetup paperSize="9" scale="46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1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5703125" style="3" customWidth="1"/>
    <col min="3" max="3" width="23" style="133" customWidth="1"/>
    <col min="4" max="4" width="8.85546875" style="133" customWidth="1"/>
    <col min="5" max="5" width="10.28515625" style="133" customWidth="1"/>
    <col min="6" max="6" width="9.85546875" style="3" customWidth="1"/>
    <col min="7" max="7" width="10.42578125" style="3" customWidth="1"/>
    <col min="8" max="8" width="10.7109375" style="3" customWidth="1"/>
    <col min="9" max="9" width="11.140625" style="3" bestFit="1" customWidth="1"/>
    <col min="10" max="12" width="9.140625" style="3"/>
    <col min="13" max="13" width="14.5703125" style="102" customWidth="1"/>
    <col min="14" max="14" width="15.42578125" style="102" customWidth="1"/>
    <col min="15" max="15" width="12.7109375" style="3" customWidth="1"/>
    <col min="16" max="16384" width="9.140625" style="3"/>
  </cols>
  <sheetData>
    <row r="1" spans="2:9">
      <c r="B1" s="150" t="s">
        <v>91</v>
      </c>
      <c r="C1" s="150"/>
      <c r="D1" s="150"/>
      <c r="E1" s="150"/>
      <c r="F1" s="150"/>
      <c r="G1" s="150"/>
      <c r="H1" s="150"/>
    </row>
    <row r="2" spans="2:9" ht="19.5" customHeight="1">
      <c r="B2" s="200" t="s">
        <v>137</v>
      </c>
      <c r="C2" s="200"/>
      <c r="D2" s="200"/>
      <c r="E2" s="200"/>
      <c r="F2" s="200"/>
      <c r="G2" s="200"/>
      <c r="H2" s="200"/>
    </row>
    <row r="3" spans="2:9" ht="20.25" customHeight="1">
      <c r="B3" s="200"/>
      <c r="C3" s="200"/>
      <c r="D3" s="200"/>
      <c r="E3" s="200"/>
      <c r="F3" s="200"/>
      <c r="G3" s="200"/>
      <c r="H3" s="200"/>
    </row>
    <row r="4" spans="2:9" ht="14.25" customHeight="1"/>
    <row r="5" spans="2:9">
      <c r="B5" s="3" t="s">
        <v>0</v>
      </c>
      <c r="D5" s="159" t="s">
        <v>17</v>
      </c>
      <c r="E5" s="159"/>
    </row>
    <row r="6" spans="2:9">
      <c r="B6" s="3" t="s">
        <v>1</v>
      </c>
      <c r="D6" s="128">
        <v>1977</v>
      </c>
      <c r="E6" s="128"/>
    </row>
    <row r="7" spans="2:9" hidden="1" outlineLevel="1">
      <c r="B7" s="3" t="s">
        <v>2</v>
      </c>
      <c r="D7" s="128">
        <v>2</v>
      </c>
      <c r="E7" s="128"/>
    </row>
    <row r="8" spans="2:9" hidden="1" outlineLevel="1">
      <c r="B8" s="3" t="s">
        <v>3</v>
      </c>
      <c r="D8" s="128">
        <v>18</v>
      </c>
      <c r="E8" s="128"/>
    </row>
    <row r="9" spans="2:9" ht="30.75" hidden="1" customHeight="1" outlineLevel="1">
      <c r="B9" s="13" t="s">
        <v>4</v>
      </c>
      <c r="C9" s="58"/>
      <c r="D9" s="128" t="s">
        <v>18</v>
      </c>
      <c r="E9" s="128"/>
    </row>
    <row r="10" spans="2:9" collapsed="1">
      <c r="B10" s="3" t="s">
        <v>5</v>
      </c>
      <c r="D10" s="128" t="s">
        <v>100</v>
      </c>
      <c r="E10" s="128"/>
      <c r="I10" s="10"/>
    </row>
    <row r="11" spans="2:9" hidden="1" outlineLevel="1">
      <c r="B11" s="3" t="s">
        <v>6</v>
      </c>
      <c r="D11" s="128" t="s">
        <v>7</v>
      </c>
      <c r="E11" s="128"/>
    </row>
    <row r="12" spans="2:9" ht="30.75" hidden="1" customHeight="1" outlineLevel="1">
      <c r="B12" s="13" t="s">
        <v>8</v>
      </c>
      <c r="C12" s="58"/>
      <c r="D12" s="101" t="s">
        <v>19</v>
      </c>
      <c r="E12" s="128"/>
      <c r="I12" s="10"/>
    </row>
    <row r="13" spans="2:9" ht="7.5" customHeight="1" collapsed="1">
      <c r="B13" s="13"/>
      <c r="C13" s="58"/>
      <c r="D13" s="101"/>
      <c r="E13" s="128"/>
      <c r="I13" s="10"/>
    </row>
    <row r="14" spans="2:9" ht="16.5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2:9" ht="49.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2:9">
      <c r="B16" s="89" t="s">
        <v>12</v>
      </c>
      <c r="C16" s="137">
        <v>1810430.0799999998</v>
      </c>
      <c r="D16" s="176"/>
      <c r="E16" s="173">
        <v>1426040.65</v>
      </c>
      <c r="F16" s="174"/>
      <c r="G16" s="173">
        <v>384389.43</v>
      </c>
      <c r="H16" s="175"/>
      <c r="I16" s="10"/>
    </row>
    <row r="17" spans="2:14">
      <c r="B17" s="47" t="s">
        <v>13</v>
      </c>
      <c r="C17" s="142">
        <v>1777057.9200000002</v>
      </c>
      <c r="D17" s="177"/>
      <c r="E17" s="142">
        <v>1400201.62</v>
      </c>
      <c r="F17" s="143"/>
      <c r="G17" s="142">
        <v>376856.3</v>
      </c>
      <c r="H17" s="144"/>
      <c r="I17" s="10"/>
    </row>
    <row r="18" spans="2:14">
      <c r="B18" s="49" t="s">
        <v>63</v>
      </c>
      <c r="C18" s="142">
        <v>1831931.6281999999</v>
      </c>
      <c r="D18" s="177"/>
      <c r="E18" s="170">
        <v>1422709.6281999999</v>
      </c>
      <c r="F18" s="171"/>
      <c r="G18" s="170">
        <v>409222</v>
      </c>
      <c r="H18" s="172"/>
      <c r="I18" s="10"/>
    </row>
    <row r="19" spans="2:14" ht="16.5" thickBot="1">
      <c r="B19" s="59" t="s">
        <v>114</v>
      </c>
      <c r="C19" s="145">
        <v>32400</v>
      </c>
      <c r="D19" s="178"/>
      <c r="E19" s="145">
        <v>32400</v>
      </c>
      <c r="F19" s="146"/>
      <c r="G19" s="145">
        <v>0</v>
      </c>
      <c r="H19" s="160"/>
      <c r="I19" s="10"/>
    </row>
    <row r="20" spans="2:14" ht="28.5" customHeight="1" thickBot="1">
      <c r="B20" s="11" t="s">
        <v>115</v>
      </c>
      <c r="C20" s="161">
        <f>E20+G20</f>
        <v>-22473.708199999819</v>
      </c>
      <c r="D20" s="162"/>
      <c r="E20" s="139">
        <f>E17+E19-E18</f>
        <v>9891.9918000001926</v>
      </c>
      <c r="F20" s="140"/>
      <c r="G20" s="139">
        <f>G17-G18</f>
        <v>-32365.700000000012</v>
      </c>
      <c r="H20" s="141"/>
      <c r="I20" s="10"/>
    </row>
    <row r="21" spans="2:14">
      <c r="B21" s="13"/>
      <c r="C21" s="58"/>
      <c r="D21" s="101"/>
      <c r="E21" s="128"/>
      <c r="I21" s="10"/>
    </row>
    <row r="22" spans="2:14" ht="21.75" customHeight="1" thickBot="1">
      <c r="B22" s="208" t="s">
        <v>133</v>
      </c>
      <c r="C22" s="208"/>
      <c r="D22" s="208"/>
      <c r="E22" s="208"/>
      <c r="F22" s="208"/>
      <c r="G22" s="208"/>
      <c r="H22" s="208"/>
      <c r="I22" s="15"/>
      <c r="J22" s="15"/>
      <c r="L22" s="10"/>
      <c r="M22" s="168" t="s">
        <v>117</v>
      </c>
      <c r="N22" s="168" t="s">
        <v>118</v>
      </c>
    </row>
    <row r="23" spans="2:14" ht="27.75" customHeight="1">
      <c r="B23" s="151" t="s">
        <v>77</v>
      </c>
      <c r="C23" s="153" t="s">
        <v>78</v>
      </c>
      <c r="D23" s="153" t="s">
        <v>79</v>
      </c>
      <c r="E23" s="195" t="s">
        <v>134</v>
      </c>
      <c r="F23" s="155" t="s">
        <v>80</v>
      </c>
      <c r="G23" s="156"/>
      <c r="H23" s="157" t="s">
        <v>98</v>
      </c>
      <c r="I23" s="16"/>
      <c r="J23" s="16"/>
      <c r="L23" s="10"/>
      <c r="M23" s="169"/>
      <c r="N23" s="169"/>
    </row>
    <row r="24" spans="2:14" ht="45" customHeight="1" thickBot="1">
      <c r="B24" s="152"/>
      <c r="C24" s="154"/>
      <c r="D24" s="154"/>
      <c r="E24" s="196"/>
      <c r="F24" s="17" t="s">
        <v>68</v>
      </c>
      <c r="G24" s="18" t="s">
        <v>69</v>
      </c>
      <c r="H24" s="158"/>
      <c r="I24" s="16"/>
      <c r="J24" s="16"/>
      <c r="M24" s="103">
        <v>185301.11</v>
      </c>
      <c r="N24" s="103">
        <f>M24</f>
        <v>185301.11</v>
      </c>
    </row>
    <row r="25" spans="2:14" ht="50.25" customHeight="1">
      <c r="B25" s="19" t="s">
        <v>81</v>
      </c>
      <c r="C25" s="5" t="s">
        <v>96</v>
      </c>
      <c r="D25" s="20" t="s">
        <v>83</v>
      </c>
      <c r="E25" s="21">
        <v>3.42</v>
      </c>
      <c r="F25" s="22">
        <f>$M$24/$M$25*E25</f>
        <v>35483.191276595739</v>
      </c>
      <c r="G25" s="23">
        <f>$N$24/$N$25*E25</f>
        <v>35483.191276595739</v>
      </c>
      <c r="H25" s="24">
        <f>F25-G25</f>
        <v>0</v>
      </c>
      <c r="I25" s="25"/>
      <c r="J25" s="25"/>
      <c r="K25" s="130"/>
      <c r="L25" s="26"/>
      <c r="M25" s="104">
        <f>E34-E32</f>
        <v>17.86</v>
      </c>
      <c r="N25" s="104">
        <f>E34-E32</f>
        <v>17.86</v>
      </c>
    </row>
    <row r="26" spans="2:14" ht="51">
      <c r="B26" s="27" t="s">
        <v>75</v>
      </c>
      <c r="C26" s="5" t="s">
        <v>96</v>
      </c>
      <c r="D26" s="20" t="s">
        <v>83</v>
      </c>
      <c r="E26" s="6">
        <v>3.8</v>
      </c>
      <c r="F26" s="22">
        <f>$M$24/$M$25*E26</f>
        <v>39425.768085106378</v>
      </c>
      <c r="G26" s="23">
        <f>$N$24/$N$25*E26</f>
        <v>39425.768085106378</v>
      </c>
      <c r="H26" s="24">
        <f t="shared" ref="H26:H30" si="0">F26-G26</f>
        <v>0</v>
      </c>
      <c r="I26" s="25"/>
      <c r="J26" s="25"/>
      <c r="K26" s="2"/>
      <c r="L26" s="2"/>
      <c r="M26" s="105"/>
      <c r="N26" s="105"/>
    </row>
    <row r="27" spans="2:14" ht="52.5" customHeight="1">
      <c r="B27" s="28" t="s">
        <v>70</v>
      </c>
      <c r="C27" s="5" t="s">
        <v>96</v>
      </c>
      <c r="D27" s="20" t="s">
        <v>83</v>
      </c>
      <c r="E27" s="6">
        <v>0.35</v>
      </c>
      <c r="F27" s="22">
        <f t="shared" ref="F27:F33" si="1">$M$24/$M$25*E27</f>
        <v>3631.3207446808506</v>
      </c>
      <c r="G27" s="23">
        <f t="shared" ref="G27:G30" si="2">$N$24/$N$25*E27</f>
        <v>3631.3207446808506</v>
      </c>
      <c r="H27" s="24">
        <f t="shared" si="0"/>
        <v>0</v>
      </c>
      <c r="I27" s="25"/>
      <c r="J27" s="25"/>
      <c r="L27" s="10"/>
    </row>
    <row r="28" spans="2:14" ht="25.5">
      <c r="B28" s="28" t="s">
        <v>84</v>
      </c>
      <c r="C28" s="29" t="s">
        <v>85</v>
      </c>
      <c r="D28" s="20" t="s">
        <v>83</v>
      </c>
      <c r="E28" s="6">
        <v>0</v>
      </c>
      <c r="F28" s="22">
        <f t="shared" si="1"/>
        <v>0</v>
      </c>
      <c r="G28" s="23">
        <f t="shared" si="2"/>
        <v>0</v>
      </c>
      <c r="H28" s="24">
        <f t="shared" si="0"/>
        <v>0</v>
      </c>
      <c r="I28" s="25"/>
      <c r="J28" s="25"/>
      <c r="L28" s="10"/>
    </row>
    <row r="29" spans="2:14" ht="51">
      <c r="B29" s="27" t="s">
        <v>71</v>
      </c>
      <c r="C29" s="5" t="s">
        <v>97</v>
      </c>
      <c r="D29" s="20" t="s">
        <v>83</v>
      </c>
      <c r="E29" s="6">
        <v>1.87</v>
      </c>
      <c r="F29" s="22">
        <f t="shared" si="1"/>
        <v>19401.627978723402</v>
      </c>
      <c r="G29" s="23">
        <f t="shared" si="2"/>
        <v>19401.627978723402</v>
      </c>
      <c r="H29" s="24">
        <f t="shared" si="0"/>
        <v>0</v>
      </c>
      <c r="I29" s="25"/>
      <c r="J29" s="25"/>
    </row>
    <row r="30" spans="2:14" ht="228.75" customHeight="1">
      <c r="B30" s="27" t="s">
        <v>94</v>
      </c>
      <c r="C30" s="30" t="s">
        <v>86</v>
      </c>
      <c r="D30" s="20" t="s">
        <v>83</v>
      </c>
      <c r="E30" s="6">
        <v>7.12</v>
      </c>
      <c r="F30" s="22">
        <f t="shared" si="1"/>
        <v>73871.439148936159</v>
      </c>
      <c r="G30" s="23">
        <f t="shared" si="2"/>
        <v>73871.439148936159</v>
      </c>
      <c r="H30" s="24">
        <f t="shared" si="0"/>
        <v>0</v>
      </c>
      <c r="I30" s="25"/>
      <c r="J30" s="25"/>
      <c r="K30" s="2"/>
      <c r="L30" s="1"/>
      <c r="M30" s="105"/>
      <c r="N30" s="105"/>
    </row>
    <row r="31" spans="2:14" ht="123" customHeight="1">
      <c r="B31" s="27" t="s">
        <v>87</v>
      </c>
      <c r="C31" s="5" t="s">
        <v>96</v>
      </c>
      <c r="D31" s="20" t="s">
        <v>83</v>
      </c>
      <c r="E31" s="6">
        <v>0.3</v>
      </c>
      <c r="F31" s="22">
        <f t="shared" si="1"/>
        <v>3112.5606382978717</v>
      </c>
      <c r="G31" s="23">
        <f t="shared" ref="G31" si="3">$N$24/$N$25*E31</f>
        <v>3112.5606382978717</v>
      </c>
      <c r="H31" s="24">
        <f>F31-G31</f>
        <v>0</v>
      </c>
      <c r="I31" s="25"/>
      <c r="J31" s="25"/>
    </row>
    <row r="32" spans="2:14" ht="45">
      <c r="B32" s="31" t="s">
        <v>88</v>
      </c>
      <c r="C32" s="5" t="s">
        <v>96</v>
      </c>
      <c r="D32" s="33" t="s">
        <v>83</v>
      </c>
      <c r="E32" s="34">
        <v>4</v>
      </c>
      <c r="F32" s="22">
        <v>41500.81</v>
      </c>
      <c r="G32" s="4">
        <v>16889</v>
      </c>
      <c r="H32" s="35">
        <f>F32-G32</f>
        <v>24611.809999999998</v>
      </c>
      <c r="I32" s="25"/>
      <c r="J32" s="25"/>
      <c r="L32" s="10"/>
    </row>
    <row r="33" spans="2:14" ht="16.5" thickBot="1">
      <c r="B33" s="59" t="s">
        <v>73</v>
      </c>
      <c r="C33" s="60" t="s">
        <v>86</v>
      </c>
      <c r="D33" s="61" t="s">
        <v>83</v>
      </c>
      <c r="E33" s="96">
        <v>1</v>
      </c>
      <c r="F33" s="83">
        <f t="shared" si="1"/>
        <v>10375.202127659573</v>
      </c>
      <c r="G33" s="23">
        <f t="shared" ref="G33" si="4">$N$24/$N$25*E33</f>
        <v>10375.202127659573</v>
      </c>
      <c r="H33" s="62">
        <f>F33-G33</f>
        <v>0</v>
      </c>
      <c r="I33" s="25"/>
      <c r="J33" s="25"/>
    </row>
    <row r="34" spans="2:14" ht="16.5" thickBot="1">
      <c r="B34" s="36" t="s">
        <v>74</v>
      </c>
      <c r="C34" s="37"/>
      <c r="D34" s="37"/>
      <c r="E34" s="38">
        <f>SUM(E25:E33)</f>
        <v>21.86</v>
      </c>
      <c r="F34" s="39">
        <f>SUM(F25:F33)</f>
        <v>226801.91999999998</v>
      </c>
      <c r="G34" s="40">
        <f>SUM(G25:G33)</f>
        <v>202190.11</v>
      </c>
      <c r="H34" s="41">
        <f>SUM(H25:H33)</f>
        <v>24611.809999999998</v>
      </c>
      <c r="I34" s="42"/>
      <c r="J34" s="42"/>
    </row>
    <row r="35" spans="2:14">
      <c r="B35" s="10"/>
      <c r="C35" s="10"/>
      <c r="D35" s="10"/>
      <c r="E35" s="132"/>
      <c r="F35" s="132"/>
      <c r="G35" s="132"/>
      <c r="H35" s="133"/>
      <c r="I35" s="133"/>
      <c r="J35" s="133"/>
    </row>
    <row r="36" spans="2:14" ht="16.5" customHeight="1" thickBot="1">
      <c r="B36" s="192" t="s">
        <v>135</v>
      </c>
      <c r="C36" s="192"/>
      <c r="D36" s="192"/>
      <c r="E36" s="192"/>
      <c r="F36" s="192"/>
      <c r="G36" s="192"/>
      <c r="H36" s="192"/>
      <c r="I36" s="43"/>
      <c r="J36" s="43"/>
    </row>
    <row r="37" spans="2:14" ht="44.25" customHeight="1" thickBot="1">
      <c r="B37" s="88" t="s">
        <v>136</v>
      </c>
      <c r="C37" s="135" t="s">
        <v>89</v>
      </c>
      <c r="D37" s="136"/>
      <c r="E37" s="147" t="s">
        <v>10</v>
      </c>
      <c r="F37" s="148"/>
      <c r="G37" s="147" t="s">
        <v>11</v>
      </c>
      <c r="H37" s="163"/>
      <c r="I37" s="44"/>
      <c r="J37" s="44"/>
      <c r="K37" s="45"/>
      <c r="L37" s="46"/>
      <c r="M37" s="106"/>
      <c r="N37" s="106"/>
    </row>
    <row r="38" spans="2:14">
      <c r="B38" s="89" t="s">
        <v>12</v>
      </c>
      <c r="C38" s="137">
        <f>E38+G38</f>
        <v>2037231.9999999998</v>
      </c>
      <c r="D38" s="138"/>
      <c r="E38" s="173">
        <f>F25+F26+F27+F28+F29+F30+F31+F33+E16</f>
        <v>1611341.7599999998</v>
      </c>
      <c r="F38" s="174"/>
      <c r="G38" s="173">
        <f>F32+G16</f>
        <v>425890.24</v>
      </c>
      <c r="H38" s="175"/>
      <c r="I38" s="48"/>
      <c r="J38" s="48"/>
      <c r="K38" s="7"/>
      <c r="L38" s="7"/>
      <c r="M38" s="107"/>
    </row>
    <row r="39" spans="2:14">
      <c r="B39" s="47" t="s">
        <v>13</v>
      </c>
      <c r="C39" s="142">
        <f>E39+G39</f>
        <v>2009715.28</v>
      </c>
      <c r="D39" s="143"/>
      <c r="E39" s="142">
        <f>E17+190085.11</f>
        <v>1590286.73</v>
      </c>
      <c r="F39" s="143"/>
      <c r="G39" s="142">
        <f>G17+42572.25</f>
        <v>419428.55</v>
      </c>
      <c r="H39" s="144"/>
      <c r="I39" s="48"/>
      <c r="J39" s="48"/>
      <c r="K39" s="9"/>
      <c r="L39" s="7"/>
      <c r="M39" s="107"/>
    </row>
    <row r="40" spans="2:14">
      <c r="B40" s="49" t="s">
        <v>63</v>
      </c>
      <c r="C40" s="142">
        <f>E40+G40</f>
        <v>2034121.7382</v>
      </c>
      <c r="D40" s="143"/>
      <c r="E40" s="170">
        <f>G25+G26+G27+G28+G29+G30+G31+G33+E18</f>
        <v>1608010.7382</v>
      </c>
      <c r="F40" s="171"/>
      <c r="G40" s="170">
        <f>G32+G18</f>
        <v>426111</v>
      </c>
      <c r="H40" s="172"/>
      <c r="I40" s="48"/>
      <c r="J40" s="48"/>
      <c r="K40" s="50"/>
      <c r="L40" s="50"/>
    </row>
    <row r="41" spans="2:14" ht="16.5" thickBot="1">
      <c r="B41" s="59" t="s">
        <v>114</v>
      </c>
      <c r="C41" s="145">
        <f>E41+G41</f>
        <v>36000</v>
      </c>
      <c r="D41" s="146"/>
      <c r="E41" s="145">
        <f>E19+3600</f>
        <v>36000</v>
      </c>
      <c r="F41" s="146"/>
      <c r="G41" s="145">
        <f>G19</f>
        <v>0</v>
      </c>
      <c r="H41" s="160"/>
      <c r="I41" s="48"/>
      <c r="J41" s="48"/>
      <c r="K41" s="50"/>
      <c r="L41" s="50"/>
    </row>
    <row r="42" spans="2:14" ht="30.75" customHeight="1" thickBot="1">
      <c r="B42" s="11" t="s">
        <v>116</v>
      </c>
      <c r="C42" s="161">
        <f>E42+G42</f>
        <v>11593.541799999948</v>
      </c>
      <c r="D42" s="162"/>
      <c r="E42" s="139">
        <f>E39+E41-E40</f>
        <v>18275.99179999996</v>
      </c>
      <c r="F42" s="140"/>
      <c r="G42" s="139">
        <f>G39-G40</f>
        <v>-6682.4500000000116</v>
      </c>
      <c r="H42" s="141"/>
      <c r="I42" s="48"/>
      <c r="J42" s="48"/>
      <c r="K42" s="50"/>
      <c r="L42" s="50"/>
    </row>
    <row r="43" spans="2:14" ht="34.5" customHeight="1">
      <c r="B43" s="124" t="s">
        <v>64</v>
      </c>
      <c r="C43" s="167" t="s">
        <v>121</v>
      </c>
      <c r="D43" s="167"/>
      <c r="E43" s="167"/>
      <c r="F43" s="165" t="s">
        <v>126</v>
      </c>
      <c r="G43" s="165"/>
      <c r="H43" s="124"/>
      <c r="I43" s="124"/>
      <c r="J43" s="124"/>
      <c r="K43" s="2"/>
      <c r="L43" s="2"/>
      <c r="M43" s="105"/>
      <c r="N43" s="105"/>
    </row>
    <row r="44" spans="2:14" ht="11.25" customHeight="1">
      <c r="B44" s="124"/>
      <c r="C44" s="124"/>
      <c r="D44" s="124"/>
      <c r="E44" s="125"/>
      <c r="F44" s="166"/>
      <c r="G44" s="166"/>
      <c r="H44" s="126"/>
      <c r="I44" s="126"/>
      <c r="J44" s="126"/>
      <c r="K44" s="2"/>
      <c r="L44" s="2"/>
      <c r="M44" s="105"/>
      <c r="N44" s="105"/>
    </row>
    <row r="45" spans="2:14">
      <c r="B45" s="124" t="s">
        <v>65</v>
      </c>
      <c r="C45" s="167" t="s">
        <v>121</v>
      </c>
      <c r="D45" s="167"/>
      <c r="E45" s="167"/>
      <c r="F45" s="165" t="s">
        <v>76</v>
      </c>
      <c r="G45" s="165"/>
      <c r="H45" s="124"/>
      <c r="I45" s="124"/>
      <c r="J45" s="124"/>
      <c r="K45" s="2"/>
      <c r="L45" s="2"/>
      <c r="M45" s="105"/>
      <c r="N45" s="105"/>
    </row>
    <row r="46" spans="2:14" ht="9.75" customHeight="1">
      <c r="B46" s="124"/>
      <c r="C46" s="124"/>
      <c r="D46" s="124"/>
      <c r="E46" s="125"/>
      <c r="F46" s="165"/>
      <c r="G46" s="165"/>
      <c r="H46" s="124"/>
      <c r="I46" s="124"/>
      <c r="J46" s="124"/>
    </row>
    <row r="47" spans="2:14">
      <c r="B47" s="124" t="s">
        <v>66</v>
      </c>
      <c r="C47" s="167" t="s">
        <v>121</v>
      </c>
      <c r="D47" s="167"/>
      <c r="E47" s="167"/>
      <c r="F47" s="165" t="s">
        <v>127</v>
      </c>
      <c r="G47" s="165"/>
      <c r="H47" s="124"/>
      <c r="I47" s="124"/>
      <c r="J47" s="124"/>
    </row>
    <row r="48" spans="2:14" ht="8.25" customHeight="1">
      <c r="B48" s="51"/>
      <c r="C48" s="51"/>
      <c r="D48" s="51"/>
      <c r="E48" s="125"/>
      <c r="F48" s="52"/>
      <c r="G48" s="53"/>
      <c r="H48" s="54"/>
      <c r="I48" s="54"/>
      <c r="J48" s="54"/>
    </row>
    <row r="49" spans="2:7">
      <c r="B49" s="124" t="s">
        <v>67</v>
      </c>
      <c r="C49" s="167" t="s">
        <v>121</v>
      </c>
      <c r="D49" s="167"/>
      <c r="E49" s="167"/>
      <c r="F49" s="165" t="s">
        <v>127</v>
      </c>
      <c r="G49" s="165"/>
    </row>
    <row r="50" spans="2:7" ht="9" customHeight="1">
      <c r="B50" s="55"/>
      <c r="C50" s="55"/>
      <c r="D50" s="55"/>
      <c r="E50" s="125"/>
      <c r="F50" s="164"/>
      <c r="G50" s="164"/>
    </row>
    <row r="51" spans="2:7">
      <c r="C51" s="132"/>
      <c r="E51" s="129"/>
    </row>
  </sheetData>
  <mergeCells count="61">
    <mergeCell ref="C43:E43"/>
    <mergeCell ref="C45:E45"/>
    <mergeCell ref="C47:E47"/>
    <mergeCell ref="C49:E49"/>
    <mergeCell ref="M22:M23"/>
    <mergeCell ref="F49:G49"/>
    <mergeCell ref="G40:H40"/>
    <mergeCell ref="G42:H42"/>
    <mergeCell ref="E40:F40"/>
    <mergeCell ref="E42:F42"/>
    <mergeCell ref="E41:F41"/>
    <mergeCell ref="G41:H41"/>
    <mergeCell ref="C40:D40"/>
    <mergeCell ref="C41:D41"/>
    <mergeCell ref="C42:D42"/>
    <mergeCell ref="N22:N23"/>
    <mergeCell ref="C37:D37"/>
    <mergeCell ref="C38:D38"/>
    <mergeCell ref="C39:D39"/>
    <mergeCell ref="E39:F39"/>
    <mergeCell ref="G39:H39"/>
    <mergeCell ref="B36:H36"/>
    <mergeCell ref="E37:F37"/>
    <mergeCell ref="G37:H37"/>
    <mergeCell ref="E38:F38"/>
    <mergeCell ref="G38:H38"/>
    <mergeCell ref="C15:D15"/>
    <mergeCell ref="C16:D16"/>
    <mergeCell ref="C17:D17"/>
    <mergeCell ref="C18:D18"/>
    <mergeCell ref="C19:D19"/>
    <mergeCell ref="F50:G50"/>
    <mergeCell ref="F46:G46"/>
    <mergeCell ref="F47:G47"/>
    <mergeCell ref="F43:G43"/>
    <mergeCell ref="F44:G44"/>
    <mergeCell ref="F45:G45"/>
    <mergeCell ref="B1:H1"/>
    <mergeCell ref="B22:H22"/>
    <mergeCell ref="B23:B24"/>
    <mergeCell ref="C23:C24"/>
    <mergeCell ref="D23:D24"/>
    <mergeCell ref="E23:E24"/>
    <mergeCell ref="F23:G23"/>
    <mergeCell ref="H23:H24"/>
    <mergeCell ref="B2:H3"/>
    <mergeCell ref="D5:E5"/>
    <mergeCell ref="B14:H14"/>
    <mergeCell ref="E15:F15"/>
    <mergeCell ref="G15:H15"/>
    <mergeCell ref="C20:D20"/>
    <mergeCell ref="E16:F16"/>
    <mergeCell ref="G16:H16"/>
    <mergeCell ref="E17:F17"/>
    <mergeCell ref="G17:H17"/>
    <mergeCell ref="E20:F20"/>
    <mergeCell ref="G20:H20"/>
    <mergeCell ref="E18:F18"/>
    <mergeCell ref="G18:H18"/>
    <mergeCell ref="E19:F19"/>
    <mergeCell ref="G19:H19"/>
  </mergeCells>
  <printOptions horizontalCentered="1"/>
  <pageMargins left="0.19685039370078741" right="0.19685039370078741" top="0.19685039370078741" bottom="0.23622047244094491" header="0.31496062992125984" footer="0.31496062992125984"/>
  <pageSetup paperSize="9" scale="4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1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7.140625" style="3" customWidth="1"/>
    <col min="3" max="3" width="21.85546875" style="132" customWidth="1"/>
    <col min="4" max="4" width="9" style="133" customWidth="1"/>
    <col min="5" max="5" width="10.28515625" style="133" customWidth="1"/>
    <col min="6" max="6" width="10.85546875" style="3" customWidth="1"/>
    <col min="7" max="8" width="10.42578125" style="3" customWidth="1"/>
    <col min="9" max="9" width="11.140625" style="3" bestFit="1" customWidth="1"/>
    <col min="10" max="12" width="9.140625" style="3"/>
    <col min="13" max="13" width="18.7109375" style="102" customWidth="1"/>
    <col min="14" max="14" width="15.85546875" style="102" customWidth="1"/>
    <col min="15" max="16384" width="9.140625" style="3"/>
  </cols>
  <sheetData>
    <row r="1" spans="2:9">
      <c r="B1" s="150" t="s">
        <v>91</v>
      </c>
      <c r="C1" s="150"/>
      <c r="D1" s="150"/>
      <c r="E1" s="150"/>
      <c r="F1" s="150"/>
      <c r="G1" s="150"/>
      <c r="H1" s="150"/>
    </row>
    <row r="2" spans="2:9" ht="19.5" customHeight="1">
      <c r="B2" s="200" t="s">
        <v>137</v>
      </c>
      <c r="C2" s="200"/>
      <c r="D2" s="200"/>
      <c r="E2" s="200"/>
      <c r="F2" s="200"/>
      <c r="G2" s="200"/>
      <c r="H2" s="200"/>
    </row>
    <row r="3" spans="2:9" ht="20.25" customHeight="1">
      <c r="B3" s="200"/>
      <c r="C3" s="200"/>
      <c r="D3" s="200"/>
      <c r="E3" s="200"/>
      <c r="F3" s="200"/>
      <c r="G3" s="200"/>
      <c r="H3" s="200"/>
    </row>
    <row r="4" spans="2:9" ht="12.75" customHeight="1"/>
    <row r="5" spans="2:9">
      <c r="B5" s="3" t="s">
        <v>0</v>
      </c>
      <c r="D5" s="159" t="s">
        <v>20</v>
      </c>
      <c r="E5" s="159"/>
    </row>
    <row r="6" spans="2:9">
      <c r="B6" s="3" t="s">
        <v>1</v>
      </c>
      <c r="D6" s="128">
        <v>1980</v>
      </c>
      <c r="E6" s="128"/>
    </row>
    <row r="7" spans="2:9" hidden="1" outlineLevel="1">
      <c r="B7" s="3" t="s">
        <v>2</v>
      </c>
      <c r="D7" s="128">
        <v>2</v>
      </c>
      <c r="E7" s="128"/>
    </row>
    <row r="8" spans="2:9" hidden="1" outlineLevel="1">
      <c r="B8" s="3" t="s">
        <v>3</v>
      </c>
      <c r="D8" s="128">
        <v>18</v>
      </c>
      <c r="E8" s="128"/>
    </row>
    <row r="9" spans="2:9" ht="30.75" hidden="1" customHeight="1" outlineLevel="1">
      <c r="B9" s="13" t="s">
        <v>4</v>
      </c>
      <c r="C9" s="14"/>
      <c r="D9" s="128" t="s">
        <v>21</v>
      </c>
      <c r="E9" s="128"/>
    </row>
    <row r="10" spans="2:9" collapsed="1">
      <c r="B10" s="3" t="s">
        <v>5</v>
      </c>
      <c r="D10" s="128" t="s">
        <v>101</v>
      </c>
      <c r="E10" s="128"/>
      <c r="I10" s="10"/>
    </row>
    <row r="11" spans="2:9" hidden="1" outlineLevel="1">
      <c r="B11" s="3" t="s">
        <v>6</v>
      </c>
      <c r="D11" s="128" t="s">
        <v>7</v>
      </c>
      <c r="E11" s="128"/>
    </row>
    <row r="12" spans="2:9" ht="30.75" hidden="1" customHeight="1" outlineLevel="1">
      <c r="B12" s="13" t="s">
        <v>8</v>
      </c>
      <c r="C12" s="14"/>
      <c r="D12" s="101" t="s">
        <v>22</v>
      </c>
      <c r="E12" s="128"/>
      <c r="I12" s="10"/>
    </row>
    <row r="13" spans="2:9" collapsed="1">
      <c r="B13" s="13"/>
      <c r="C13" s="14"/>
      <c r="D13" s="101"/>
      <c r="E13" s="128"/>
      <c r="I13" s="10"/>
    </row>
    <row r="14" spans="2:9" ht="16.5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2:9" ht="45.7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2:9">
      <c r="B16" s="89" t="s">
        <v>12</v>
      </c>
      <c r="C16" s="137">
        <v>1866805.3699999999</v>
      </c>
      <c r="D16" s="176"/>
      <c r="E16" s="173">
        <v>1426309.69</v>
      </c>
      <c r="F16" s="174"/>
      <c r="G16" s="173">
        <v>440495.68</v>
      </c>
      <c r="H16" s="175"/>
      <c r="I16" s="10"/>
    </row>
    <row r="17" spans="2:14">
      <c r="B17" s="47" t="s">
        <v>13</v>
      </c>
      <c r="C17" s="142">
        <v>1849841.9700000002</v>
      </c>
      <c r="D17" s="177"/>
      <c r="E17" s="142">
        <v>1412707.3800000001</v>
      </c>
      <c r="F17" s="143"/>
      <c r="G17" s="142">
        <v>437134.59</v>
      </c>
      <c r="H17" s="144"/>
      <c r="I17" s="10"/>
    </row>
    <row r="18" spans="2:14">
      <c r="B18" s="49" t="s">
        <v>63</v>
      </c>
      <c r="C18" s="142">
        <v>1903503.5360999999</v>
      </c>
      <c r="D18" s="177"/>
      <c r="E18" s="170">
        <v>1421745.5360999999</v>
      </c>
      <c r="F18" s="171"/>
      <c r="G18" s="170">
        <v>481758</v>
      </c>
      <c r="H18" s="172"/>
      <c r="I18" s="10"/>
    </row>
    <row r="19" spans="2:14" ht="16.5" thickBot="1">
      <c r="B19" s="59" t="s">
        <v>114</v>
      </c>
      <c r="C19" s="145">
        <v>32400</v>
      </c>
      <c r="D19" s="178"/>
      <c r="E19" s="145">
        <v>32400</v>
      </c>
      <c r="F19" s="146"/>
      <c r="G19" s="145">
        <v>0</v>
      </c>
      <c r="H19" s="160"/>
      <c r="I19" s="10"/>
    </row>
    <row r="20" spans="2:14" ht="30" customHeight="1" thickBot="1">
      <c r="B20" s="11" t="s">
        <v>115</v>
      </c>
      <c r="C20" s="161">
        <f>E20+G20</f>
        <v>-21261.566099999764</v>
      </c>
      <c r="D20" s="162"/>
      <c r="E20" s="139">
        <f>E17+E19-E18</f>
        <v>23361.843900000211</v>
      </c>
      <c r="F20" s="140"/>
      <c r="G20" s="139">
        <f>G17-G18</f>
        <v>-44623.409999999974</v>
      </c>
      <c r="H20" s="141"/>
      <c r="I20" s="10"/>
    </row>
    <row r="21" spans="2:14">
      <c r="B21" s="13"/>
      <c r="C21" s="14"/>
      <c r="D21" s="101"/>
      <c r="E21" s="128"/>
      <c r="I21" s="10"/>
    </row>
    <row r="22" spans="2:14" ht="19.5" customHeight="1" thickBot="1">
      <c r="B22" s="208" t="s">
        <v>133</v>
      </c>
      <c r="C22" s="208"/>
      <c r="D22" s="208"/>
      <c r="E22" s="208"/>
      <c r="F22" s="208"/>
      <c r="G22" s="208"/>
      <c r="H22" s="208"/>
      <c r="I22" s="15"/>
      <c r="J22" s="15"/>
      <c r="L22" s="10"/>
      <c r="M22" s="168" t="s">
        <v>117</v>
      </c>
      <c r="N22" s="168" t="s">
        <v>118</v>
      </c>
    </row>
    <row r="23" spans="2:14" ht="27.75" customHeight="1">
      <c r="B23" s="151" t="s">
        <v>77</v>
      </c>
      <c r="C23" s="153" t="s">
        <v>78</v>
      </c>
      <c r="D23" s="153" t="s">
        <v>79</v>
      </c>
      <c r="E23" s="195" t="s">
        <v>134</v>
      </c>
      <c r="F23" s="155" t="s">
        <v>80</v>
      </c>
      <c r="G23" s="156"/>
      <c r="H23" s="157" t="s">
        <v>98</v>
      </c>
      <c r="I23" s="16"/>
      <c r="J23" s="16"/>
      <c r="L23" s="10"/>
      <c r="M23" s="169"/>
      <c r="N23" s="169"/>
    </row>
    <row r="24" spans="2:14" ht="45" customHeight="1" thickBot="1">
      <c r="B24" s="152"/>
      <c r="C24" s="154"/>
      <c r="D24" s="154"/>
      <c r="E24" s="196"/>
      <c r="F24" s="17" t="s">
        <v>68</v>
      </c>
      <c r="G24" s="18" t="s">
        <v>69</v>
      </c>
      <c r="H24" s="158"/>
      <c r="I24" s="16"/>
      <c r="J24" s="16"/>
      <c r="M24" s="103">
        <v>186544.03</v>
      </c>
      <c r="N24" s="103">
        <f>M24</f>
        <v>186544.03</v>
      </c>
    </row>
    <row r="25" spans="2:14" ht="50.25" customHeight="1">
      <c r="B25" s="19" t="s">
        <v>81</v>
      </c>
      <c r="C25" s="5" t="s">
        <v>96</v>
      </c>
      <c r="D25" s="20" t="s">
        <v>83</v>
      </c>
      <c r="E25" s="21">
        <v>3.42</v>
      </c>
      <c r="F25" s="22">
        <f>$M$24/$M$25*E25</f>
        <v>33989.375737879593</v>
      </c>
      <c r="G25" s="23">
        <f>$N$24/$N$25*E25</f>
        <v>33989.375737879593</v>
      </c>
      <c r="H25" s="24">
        <f>F25-G25</f>
        <v>0</v>
      </c>
      <c r="I25" s="25"/>
      <c r="J25" s="25"/>
      <c r="K25" s="130"/>
      <c r="L25" s="26"/>
      <c r="M25" s="104">
        <f>E34-E32</f>
        <v>18.77</v>
      </c>
      <c r="N25" s="104">
        <f>E34-E32</f>
        <v>18.77</v>
      </c>
    </row>
    <row r="26" spans="2:14" ht="56.25">
      <c r="B26" s="27" t="s">
        <v>75</v>
      </c>
      <c r="C26" s="5" t="s">
        <v>96</v>
      </c>
      <c r="D26" s="20" t="s">
        <v>83</v>
      </c>
      <c r="E26" s="6">
        <v>3.8</v>
      </c>
      <c r="F26" s="22">
        <f>$M$24/$M$25*E26</f>
        <v>37765.973042088437</v>
      </c>
      <c r="G26" s="23">
        <f>$N$24/$N$25*E26</f>
        <v>37765.973042088437</v>
      </c>
      <c r="H26" s="24">
        <f t="shared" ref="H26:H31" si="0">F26-G26</f>
        <v>0</v>
      </c>
      <c r="I26" s="25"/>
      <c r="J26" s="25"/>
      <c r="K26" s="2"/>
      <c r="L26" s="2"/>
      <c r="M26" s="105"/>
      <c r="N26" s="105"/>
    </row>
    <row r="27" spans="2:14" ht="52.5" customHeight="1">
      <c r="B27" s="28" t="s">
        <v>70</v>
      </c>
      <c r="C27" s="5" t="s">
        <v>96</v>
      </c>
      <c r="D27" s="20" t="s">
        <v>83</v>
      </c>
      <c r="E27" s="6">
        <v>0.35</v>
      </c>
      <c r="F27" s="22">
        <f t="shared" ref="F27:F33" si="1">$M$24/$M$25*E27</f>
        <v>3478.4448854555139</v>
      </c>
      <c r="G27" s="23">
        <f t="shared" ref="G27:G30" si="2">$N$24/$N$25*E27</f>
        <v>3478.4448854555139</v>
      </c>
      <c r="H27" s="24">
        <f t="shared" si="0"/>
        <v>0</v>
      </c>
      <c r="I27" s="25"/>
      <c r="J27" s="25"/>
      <c r="L27" s="10"/>
    </row>
    <row r="28" spans="2:14" ht="25.5">
      <c r="B28" s="28" t="s">
        <v>84</v>
      </c>
      <c r="C28" s="29" t="s">
        <v>85</v>
      </c>
      <c r="D28" s="20" t="s">
        <v>83</v>
      </c>
      <c r="E28" s="6">
        <v>0</v>
      </c>
      <c r="F28" s="22">
        <f t="shared" si="1"/>
        <v>0</v>
      </c>
      <c r="G28" s="23">
        <f t="shared" si="2"/>
        <v>0</v>
      </c>
      <c r="H28" s="24">
        <f t="shared" si="0"/>
        <v>0</v>
      </c>
      <c r="I28" s="25"/>
      <c r="J28" s="25"/>
      <c r="L28" s="10"/>
    </row>
    <row r="29" spans="2:14" ht="51">
      <c r="B29" s="27" t="s">
        <v>71</v>
      </c>
      <c r="C29" s="5" t="s">
        <v>97</v>
      </c>
      <c r="D29" s="20" t="s">
        <v>83</v>
      </c>
      <c r="E29" s="6">
        <v>2.04</v>
      </c>
      <c r="F29" s="22">
        <f t="shared" si="1"/>
        <v>20274.364475226423</v>
      </c>
      <c r="G29" s="23">
        <f t="shared" si="2"/>
        <v>20274.364475226423</v>
      </c>
      <c r="H29" s="24">
        <f t="shared" si="0"/>
        <v>0</v>
      </c>
      <c r="I29" s="25"/>
      <c r="J29" s="25"/>
    </row>
    <row r="30" spans="2:14" ht="227.25" customHeight="1">
      <c r="B30" s="27" t="s">
        <v>94</v>
      </c>
      <c r="C30" s="30" t="s">
        <v>86</v>
      </c>
      <c r="D30" s="20" t="s">
        <v>83</v>
      </c>
      <c r="E30" s="6">
        <v>7.2</v>
      </c>
      <c r="F30" s="22">
        <f t="shared" si="1"/>
        <v>71556.580500799144</v>
      </c>
      <c r="G30" s="23">
        <f t="shared" si="2"/>
        <v>71556.580500799144</v>
      </c>
      <c r="H30" s="24">
        <f t="shared" si="0"/>
        <v>0</v>
      </c>
      <c r="I30" s="25"/>
      <c r="J30" s="25"/>
      <c r="K30" s="2"/>
      <c r="L30" s="1"/>
      <c r="M30" s="105"/>
      <c r="N30" s="105"/>
    </row>
    <row r="31" spans="2:14" ht="108.75" customHeight="1">
      <c r="B31" s="27" t="s">
        <v>87</v>
      </c>
      <c r="C31" s="5" t="s">
        <v>96</v>
      </c>
      <c r="D31" s="20" t="s">
        <v>83</v>
      </c>
      <c r="E31" s="6">
        <v>0.5</v>
      </c>
      <c r="F31" s="22">
        <f t="shared" si="1"/>
        <v>4969.2069792221628</v>
      </c>
      <c r="G31" s="23">
        <f t="shared" ref="G31" si="3">$N$24/$N$25*E31</f>
        <v>4969.2069792221628</v>
      </c>
      <c r="H31" s="24">
        <f t="shared" si="0"/>
        <v>0</v>
      </c>
      <c r="I31" s="25"/>
      <c r="J31" s="25"/>
    </row>
    <row r="32" spans="2:14" ht="56.25">
      <c r="B32" s="28" t="s">
        <v>88</v>
      </c>
      <c r="C32" s="5" t="s">
        <v>96</v>
      </c>
      <c r="D32" s="20" t="s">
        <v>83</v>
      </c>
      <c r="E32" s="6">
        <v>4</v>
      </c>
      <c r="F32" s="22">
        <v>39753.65</v>
      </c>
      <c r="G32" s="4">
        <v>0</v>
      </c>
      <c r="H32" s="24">
        <f>F32-G32</f>
        <v>39753.65</v>
      </c>
      <c r="I32" s="25"/>
      <c r="J32" s="25"/>
      <c r="L32" s="10"/>
    </row>
    <row r="33" spans="2:14" ht="16.5" thickBot="1">
      <c r="B33" s="31" t="s">
        <v>73</v>
      </c>
      <c r="C33" s="32" t="s">
        <v>86</v>
      </c>
      <c r="D33" s="33" t="s">
        <v>83</v>
      </c>
      <c r="E33" s="34">
        <v>1.46</v>
      </c>
      <c r="F33" s="22">
        <f t="shared" si="1"/>
        <v>14510.084379328715</v>
      </c>
      <c r="G33" s="23">
        <f t="shared" ref="G33" si="4">$N$24/$N$25*E33</f>
        <v>14510.084379328715</v>
      </c>
      <c r="H33" s="35">
        <f>F33-G33</f>
        <v>0</v>
      </c>
      <c r="I33" s="25"/>
      <c r="J33" s="25"/>
    </row>
    <row r="34" spans="2:14" ht="16.5" thickBot="1">
      <c r="B34" s="36" t="s">
        <v>74</v>
      </c>
      <c r="C34" s="37"/>
      <c r="D34" s="37"/>
      <c r="E34" s="38">
        <f>SUM(E25:E33)</f>
        <v>22.77</v>
      </c>
      <c r="F34" s="39">
        <f>SUM(F25:F33)</f>
        <v>226297.67999999996</v>
      </c>
      <c r="G34" s="40">
        <f>SUM(G25:G33)</f>
        <v>186544.02999999997</v>
      </c>
      <c r="H34" s="41">
        <f>SUM(H25:H33)</f>
        <v>39753.65</v>
      </c>
      <c r="I34" s="42"/>
      <c r="J34" s="42"/>
    </row>
    <row r="35" spans="2:14">
      <c r="B35" s="10"/>
      <c r="C35" s="10"/>
      <c r="D35" s="10"/>
      <c r="E35" s="132"/>
      <c r="F35" s="132"/>
      <c r="G35" s="132"/>
      <c r="H35" s="133"/>
      <c r="I35" s="133"/>
      <c r="J35" s="133"/>
    </row>
    <row r="36" spans="2:14" ht="16.5" customHeight="1" thickBot="1">
      <c r="B36" s="192" t="s">
        <v>135</v>
      </c>
      <c r="C36" s="192"/>
      <c r="D36" s="192"/>
      <c r="E36" s="192"/>
      <c r="F36" s="192"/>
      <c r="G36" s="192"/>
      <c r="H36" s="192"/>
      <c r="I36" s="43"/>
      <c r="J36" s="43"/>
    </row>
    <row r="37" spans="2:14" ht="44.25" customHeight="1" thickBot="1">
      <c r="B37" s="88" t="s">
        <v>136</v>
      </c>
      <c r="C37" s="135" t="s">
        <v>89</v>
      </c>
      <c r="D37" s="136"/>
      <c r="E37" s="147" t="s">
        <v>10</v>
      </c>
      <c r="F37" s="148"/>
      <c r="G37" s="147" t="s">
        <v>11</v>
      </c>
      <c r="H37" s="163"/>
      <c r="I37" s="44"/>
      <c r="J37" s="44"/>
      <c r="K37" s="45"/>
      <c r="L37" s="46"/>
      <c r="M37" s="106"/>
      <c r="N37" s="106"/>
    </row>
    <row r="38" spans="2:14">
      <c r="B38" s="89" t="s">
        <v>12</v>
      </c>
      <c r="C38" s="137">
        <f>E38+G38</f>
        <v>2093103.05</v>
      </c>
      <c r="D38" s="138"/>
      <c r="E38" s="173">
        <f>F25+F26+F27+F28+F29+F30+F31+F33+E16</f>
        <v>1612853.72</v>
      </c>
      <c r="F38" s="174"/>
      <c r="G38" s="173">
        <f>F32+G16</f>
        <v>480249.33</v>
      </c>
      <c r="H38" s="175"/>
      <c r="I38" s="48"/>
      <c r="J38" s="48"/>
      <c r="K38" s="7"/>
      <c r="L38" s="7"/>
      <c r="M38" s="107"/>
    </row>
    <row r="39" spans="2:14">
      <c r="B39" s="47" t="s">
        <v>13</v>
      </c>
      <c r="C39" s="142">
        <f>E39+G39</f>
        <v>2056072.1900000002</v>
      </c>
      <c r="D39" s="143"/>
      <c r="E39" s="142">
        <f>E17+170001.81</f>
        <v>1582709.1900000002</v>
      </c>
      <c r="F39" s="143"/>
      <c r="G39" s="142">
        <f>G17+36228.41</f>
        <v>473363</v>
      </c>
      <c r="H39" s="144"/>
      <c r="I39" s="48"/>
      <c r="J39" s="48"/>
      <c r="K39" s="9"/>
      <c r="L39" s="7"/>
      <c r="M39" s="107"/>
    </row>
    <row r="40" spans="2:14">
      <c r="B40" s="49" t="s">
        <v>63</v>
      </c>
      <c r="C40" s="142">
        <f>E40+G40</f>
        <v>2090047.5660999999</v>
      </c>
      <c r="D40" s="143"/>
      <c r="E40" s="170">
        <f>G25+G26+G27+G28+G29+G30+G31+G33+E18</f>
        <v>1608289.5660999999</v>
      </c>
      <c r="F40" s="171"/>
      <c r="G40" s="170">
        <f>G32+G18</f>
        <v>481758</v>
      </c>
      <c r="H40" s="172"/>
      <c r="I40" s="48"/>
      <c r="J40" s="48"/>
      <c r="K40" s="50"/>
      <c r="L40" s="50"/>
    </row>
    <row r="41" spans="2:14" ht="16.5" thickBot="1">
      <c r="B41" s="59" t="s">
        <v>114</v>
      </c>
      <c r="C41" s="145">
        <f>E41+G41</f>
        <v>36000</v>
      </c>
      <c r="D41" s="146"/>
      <c r="E41" s="145">
        <f>E19+3600</f>
        <v>36000</v>
      </c>
      <c r="F41" s="146"/>
      <c r="G41" s="145">
        <f>G19</f>
        <v>0</v>
      </c>
      <c r="H41" s="160"/>
      <c r="I41" s="48"/>
      <c r="J41" s="48"/>
      <c r="K41" s="50"/>
      <c r="L41" s="50"/>
    </row>
    <row r="42" spans="2:14" ht="28.5" customHeight="1" thickBot="1">
      <c r="B42" s="11" t="s">
        <v>116</v>
      </c>
      <c r="C42" s="161">
        <f>E42+G42</f>
        <v>2024.6239000002388</v>
      </c>
      <c r="D42" s="162"/>
      <c r="E42" s="139">
        <f>E39+E41-E40</f>
        <v>10419.623900000239</v>
      </c>
      <c r="F42" s="140"/>
      <c r="G42" s="139">
        <f>G39-G40</f>
        <v>-8395</v>
      </c>
      <c r="H42" s="141"/>
      <c r="I42" s="48"/>
      <c r="J42" s="48"/>
      <c r="K42" s="50"/>
      <c r="L42" s="50"/>
    </row>
    <row r="43" spans="2:14" ht="34.5" customHeight="1">
      <c r="B43" s="124" t="s">
        <v>64</v>
      </c>
      <c r="C43" s="167" t="s">
        <v>121</v>
      </c>
      <c r="D43" s="167"/>
      <c r="E43" s="167"/>
      <c r="F43" s="165" t="s">
        <v>126</v>
      </c>
      <c r="G43" s="165"/>
      <c r="H43" s="124"/>
      <c r="I43" s="124"/>
      <c r="J43" s="124"/>
      <c r="K43" s="2"/>
      <c r="L43" s="2"/>
      <c r="M43" s="105"/>
      <c r="N43" s="105"/>
    </row>
    <row r="44" spans="2:14" ht="11.25" customHeight="1">
      <c r="B44" s="124"/>
      <c r="C44" s="124"/>
      <c r="D44" s="124"/>
      <c r="E44" s="125"/>
      <c r="F44" s="166"/>
      <c r="G44" s="166"/>
      <c r="H44" s="126"/>
      <c r="I44" s="126"/>
      <c r="J44" s="126"/>
      <c r="K44" s="2"/>
      <c r="L44" s="2"/>
      <c r="M44" s="105"/>
      <c r="N44" s="105"/>
    </row>
    <row r="45" spans="2:14">
      <c r="B45" s="124" t="s">
        <v>65</v>
      </c>
      <c r="C45" s="167" t="s">
        <v>121</v>
      </c>
      <c r="D45" s="167"/>
      <c r="E45" s="167"/>
      <c r="F45" s="165" t="s">
        <v>76</v>
      </c>
      <c r="G45" s="165"/>
      <c r="H45" s="124"/>
      <c r="I45" s="124"/>
      <c r="J45" s="124"/>
      <c r="K45" s="2"/>
      <c r="L45" s="2"/>
      <c r="M45" s="105"/>
      <c r="N45" s="105"/>
    </row>
    <row r="46" spans="2:14" ht="9.75" customHeight="1">
      <c r="B46" s="124"/>
      <c r="C46" s="124"/>
      <c r="D46" s="124"/>
      <c r="E46" s="125"/>
      <c r="F46" s="165"/>
      <c r="G46" s="165"/>
      <c r="H46" s="124"/>
      <c r="I46" s="124"/>
      <c r="J46" s="124"/>
    </row>
    <row r="47" spans="2:14">
      <c r="B47" s="124" t="s">
        <v>66</v>
      </c>
      <c r="C47" s="167" t="s">
        <v>121</v>
      </c>
      <c r="D47" s="167"/>
      <c r="E47" s="167"/>
      <c r="F47" s="165" t="s">
        <v>127</v>
      </c>
      <c r="G47" s="165"/>
      <c r="H47" s="124"/>
      <c r="I47" s="124"/>
      <c r="J47" s="124"/>
    </row>
    <row r="48" spans="2:14" ht="8.25" customHeight="1">
      <c r="B48" s="51"/>
      <c r="C48" s="51"/>
      <c r="D48" s="51"/>
      <c r="E48" s="125"/>
      <c r="F48" s="52"/>
      <c r="G48" s="53"/>
      <c r="H48" s="54"/>
      <c r="I48" s="54"/>
      <c r="J48" s="54"/>
    </row>
    <row r="49" spans="2:7">
      <c r="B49" s="124" t="s">
        <v>67</v>
      </c>
      <c r="C49" s="167" t="s">
        <v>121</v>
      </c>
      <c r="D49" s="167"/>
      <c r="E49" s="167"/>
      <c r="F49" s="165" t="s">
        <v>127</v>
      </c>
      <c r="G49" s="165"/>
    </row>
    <row r="50" spans="2:7" ht="9" customHeight="1">
      <c r="B50" s="55"/>
      <c r="C50" s="55"/>
      <c r="D50" s="55"/>
      <c r="E50" s="125"/>
      <c r="F50" s="164"/>
      <c r="G50" s="164"/>
    </row>
    <row r="51" spans="2:7">
      <c r="E51" s="129"/>
    </row>
  </sheetData>
  <mergeCells count="61">
    <mergeCell ref="C47:E47"/>
    <mergeCell ref="C49:E49"/>
    <mergeCell ref="C42:D42"/>
    <mergeCell ref="M22:M23"/>
    <mergeCell ref="N22:N23"/>
    <mergeCell ref="C37:D37"/>
    <mergeCell ref="C38:D38"/>
    <mergeCell ref="C39:D39"/>
    <mergeCell ref="G41:H41"/>
    <mergeCell ref="F49:G49"/>
    <mergeCell ref="F46:G46"/>
    <mergeCell ref="F47:G47"/>
    <mergeCell ref="C43:E43"/>
    <mergeCell ref="C45:E45"/>
    <mergeCell ref="C17:D17"/>
    <mergeCell ref="C18:D18"/>
    <mergeCell ref="C19:D19"/>
    <mergeCell ref="C40:D40"/>
    <mergeCell ref="C41:D41"/>
    <mergeCell ref="F50:G50"/>
    <mergeCell ref="B36:H36"/>
    <mergeCell ref="E37:F37"/>
    <mergeCell ref="G37:H37"/>
    <mergeCell ref="E38:F38"/>
    <mergeCell ref="G38:H38"/>
    <mergeCell ref="G39:H39"/>
    <mergeCell ref="E40:F40"/>
    <mergeCell ref="G40:H40"/>
    <mergeCell ref="E42:F42"/>
    <mergeCell ref="G42:H42"/>
    <mergeCell ref="E39:F39"/>
    <mergeCell ref="E41:F41"/>
    <mergeCell ref="F43:G43"/>
    <mergeCell ref="F44:G44"/>
    <mergeCell ref="F45:G45"/>
    <mergeCell ref="B1:H1"/>
    <mergeCell ref="B22:H22"/>
    <mergeCell ref="B23:B24"/>
    <mergeCell ref="C23:C24"/>
    <mergeCell ref="D23:D24"/>
    <mergeCell ref="E23:E24"/>
    <mergeCell ref="F23:G23"/>
    <mergeCell ref="H23:H24"/>
    <mergeCell ref="B2:H3"/>
    <mergeCell ref="D5:E5"/>
    <mergeCell ref="B14:H14"/>
    <mergeCell ref="E15:F15"/>
    <mergeCell ref="G15:H15"/>
    <mergeCell ref="C20:D20"/>
    <mergeCell ref="C15:D15"/>
    <mergeCell ref="C16:D16"/>
    <mergeCell ref="E16:F16"/>
    <mergeCell ref="G16:H16"/>
    <mergeCell ref="E17:F17"/>
    <mergeCell ref="G17:H17"/>
    <mergeCell ref="E20:F20"/>
    <mergeCell ref="G20:H20"/>
    <mergeCell ref="E18:F18"/>
    <mergeCell ref="G18:H18"/>
    <mergeCell ref="E19:F19"/>
    <mergeCell ref="G19:H19"/>
  </mergeCells>
  <printOptions horizontalCentered="1"/>
  <pageMargins left="0.19685039370078741" right="0.19685039370078741" top="0.15748031496062992" bottom="0.31496062992125984" header="0.31496062992125984" footer="0.31496062992125984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1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7" style="3" customWidth="1"/>
    <col min="3" max="3" width="21.28515625" style="132" customWidth="1"/>
    <col min="4" max="4" width="9.42578125" style="133" customWidth="1"/>
    <col min="5" max="5" width="10.140625" style="133" customWidth="1"/>
    <col min="6" max="6" width="10" style="3" customWidth="1"/>
    <col min="7" max="8" width="10.42578125" style="3" customWidth="1"/>
    <col min="9" max="9" width="12.28515625" style="3" customWidth="1"/>
    <col min="10" max="12" width="9.140625" style="3"/>
    <col min="13" max="13" width="15.85546875" style="102" customWidth="1"/>
    <col min="14" max="14" width="17.42578125" style="102" customWidth="1"/>
    <col min="15" max="16384" width="9.140625" style="3"/>
  </cols>
  <sheetData>
    <row r="1" spans="2:9">
      <c r="B1" s="150" t="s">
        <v>91</v>
      </c>
      <c r="C1" s="150"/>
      <c r="D1" s="150"/>
      <c r="E1" s="150"/>
      <c r="F1" s="150"/>
      <c r="G1" s="150"/>
      <c r="H1" s="150"/>
    </row>
    <row r="2" spans="2:9" ht="19.5" customHeight="1">
      <c r="B2" s="200" t="s">
        <v>137</v>
      </c>
      <c r="C2" s="200"/>
      <c r="D2" s="200"/>
      <c r="E2" s="200"/>
      <c r="F2" s="200"/>
      <c r="G2" s="200"/>
      <c r="H2" s="200"/>
    </row>
    <row r="3" spans="2:9" ht="20.25" customHeight="1">
      <c r="B3" s="200"/>
      <c r="C3" s="200"/>
      <c r="D3" s="200"/>
      <c r="E3" s="200"/>
      <c r="F3" s="200"/>
      <c r="G3" s="200"/>
      <c r="H3" s="200"/>
    </row>
    <row r="4" spans="2:9" ht="14.25" customHeight="1"/>
    <row r="5" spans="2:9">
      <c r="B5" s="3" t="s">
        <v>0</v>
      </c>
      <c r="D5" s="159" t="s">
        <v>23</v>
      </c>
      <c r="E5" s="159"/>
    </row>
    <row r="6" spans="2:9">
      <c r="B6" s="3" t="s">
        <v>1</v>
      </c>
      <c r="D6" s="128">
        <v>1980</v>
      </c>
      <c r="E6" s="128"/>
    </row>
    <row r="7" spans="2:9" hidden="1" outlineLevel="1">
      <c r="B7" s="3" t="s">
        <v>2</v>
      </c>
      <c r="D7" s="128">
        <v>2</v>
      </c>
      <c r="E7" s="128"/>
    </row>
    <row r="8" spans="2:9" hidden="1" outlineLevel="1">
      <c r="B8" s="3" t="s">
        <v>3</v>
      </c>
      <c r="D8" s="128">
        <v>17</v>
      </c>
      <c r="E8" s="128"/>
    </row>
    <row r="9" spans="2:9" ht="30.75" hidden="1" customHeight="1" outlineLevel="1">
      <c r="B9" s="13" t="s">
        <v>4</v>
      </c>
      <c r="C9" s="14"/>
      <c r="D9" s="128" t="s">
        <v>24</v>
      </c>
      <c r="E9" s="128"/>
    </row>
    <row r="10" spans="2:9" collapsed="1">
      <c r="B10" s="3" t="s">
        <v>5</v>
      </c>
      <c r="D10" s="128" t="s">
        <v>62</v>
      </c>
      <c r="E10" s="128"/>
      <c r="I10" s="10"/>
    </row>
    <row r="11" spans="2:9" hidden="1" outlineLevel="1">
      <c r="B11" s="3" t="s">
        <v>6</v>
      </c>
      <c r="D11" s="128" t="s">
        <v>7</v>
      </c>
      <c r="E11" s="128"/>
    </row>
    <row r="12" spans="2:9" ht="30.75" hidden="1" customHeight="1" outlineLevel="1">
      <c r="B12" s="13" t="s">
        <v>8</v>
      </c>
      <c r="C12" s="14"/>
      <c r="D12" s="101" t="s">
        <v>25</v>
      </c>
      <c r="E12" s="128"/>
      <c r="I12" s="10"/>
    </row>
    <row r="13" spans="2:9" ht="10.5" customHeight="1" collapsed="1">
      <c r="B13" s="13"/>
      <c r="C13" s="14"/>
      <c r="D13" s="101"/>
      <c r="E13" s="128"/>
      <c r="I13" s="10"/>
    </row>
    <row r="14" spans="2:9" ht="16.5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2:9" ht="41.2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2:9">
      <c r="B16" s="89" t="s">
        <v>12</v>
      </c>
      <c r="C16" s="137">
        <v>1742566.5500000003</v>
      </c>
      <c r="D16" s="138"/>
      <c r="E16" s="137">
        <v>1433483.4500000004</v>
      </c>
      <c r="F16" s="138"/>
      <c r="G16" s="137">
        <v>309083.09999999998</v>
      </c>
      <c r="H16" s="149"/>
      <c r="I16" s="10"/>
    </row>
    <row r="17" spans="2:14">
      <c r="B17" s="47" t="s">
        <v>13</v>
      </c>
      <c r="C17" s="142">
        <v>1675583.15</v>
      </c>
      <c r="D17" s="143"/>
      <c r="E17" s="142">
        <v>1379867.93</v>
      </c>
      <c r="F17" s="143"/>
      <c r="G17" s="142">
        <v>295715.21999999997</v>
      </c>
      <c r="H17" s="144"/>
      <c r="I17" s="10"/>
    </row>
    <row r="18" spans="2:14">
      <c r="B18" s="49" t="s">
        <v>63</v>
      </c>
      <c r="C18" s="142">
        <v>1660090.5271000003</v>
      </c>
      <c r="D18" s="143"/>
      <c r="E18" s="142">
        <v>1427840.5271000003</v>
      </c>
      <c r="F18" s="143"/>
      <c r="G18" s="142">
        <v>232250</v>
      </c>
      <c r="H18" s="144"/>
      <c r="I18" s="10"/>
    </row>
    <row r="19" spans="2:14" ht="16.5" thickBot="1">
      <c r="B19" s="59" t="s">
        <v>114</v>
      </c>
      <c r="C19" s="145">
        <v>32400</v>
      </c>
      <c r="D19" s="146"/>
      <c r="E19" s="145">
        <v>32400</v>
      </c>
      <c r="F19" s="146"/>
      <c r="G19" s="145">
        <v>0</v>
      </c>
      <c r="H19" s="160"/>
      <c r="I19" s="10"/>
    </row>
    <row r="20" spans="2:14" ht="31.5" customHeight="1" thickBot="1">
      <c r="B20" s="11" t="s">
        <v>115</v>
      </c>
      <c r="C20" s="161">
        <f>E20+G20</f>
        <v>47892.622899999609</v>
      </c>
      <c r="D20" s="162"/>
      <c r="E20" s="139">
        <f>E17+E19-E18</f>
        <v>-15572.597100000363</v>
      </c>
      <c r="F20" s="140"/>
      <c r="G20" s="139">
        <f>G17-G18</f>
        <v>63465.219999999972</v>
      </c>
      <c r="H20" s="141"/>
      <c r="I20" s="10"/>
    </row>
    <row r="21" spans="2:14">
      <c r="B21" s="13"/>
      <c r="C21" s="14"/>
      <c r="D21" s="101"/>
      <c r="E21" s="128"/>
      <c r="I21" s="10"/>
    </row>
    <row r="22" spans="2:14" ht="21" customHeight="1" thickBot="1">
      <c r="B22" s="208" t="s">
        <v>133</v>
      </c>
      <c r="C22" s="208"/>
      <c r="D22" s="208"/>
      <c r="E22" s="208"/>
      <c r="F22" s="208"/>
      <c r="G22" s="208"/>
      <c r="H22" s="208"/>
      <c r="I22" s="15"/>
      <c r="J22" s="15"/>
      <c r="L22" s="10"/>
      <c r="M22" s="168" t="s">
        <v>117</v>
      </c>
      <c r="N22" s="168" t="s">
        <v>118</v>
      </c>
    </row>
    <row r="23" spans="2:14" ht="27.75" customHeight="1">
      <c r="B23" s="151" t="s">
        <v>77</v>
      </c>
      <c r="C23" s="153" t="s">
        <v>78</v>
      </c>
      <c r="D23" s="153" t="s">
        <v>79</v>
      </c>
      <c r="E23" s="195" t="s">
        <v>134</v>
      </c>
      <c r="F23" s="155" t="s">
        <v>80</v>
      </c>
      <c r="G23" s="156"/>
      <c r="H23" s="157" t="s">
        <v>98</v>
      </c>
      <c r="I23" s="16"/>
      <c r="J23" s="16"/>
      <c r="L23" s="10"/>
      <c r="M23" s="169"/>
      <c r="N23" s="169"/>
    </row>
    <row r="24" spans="2:14" ht="45" customHeight="1" thickBot="1">
      <c r="B24" s="152"/>
      <c r="C24" s="154"/>
      <c r="D24" s="154"/>
      <c r="E24" s="196"/>
      <c r="F24" s="17" t="s">
        <v>68</v>
      </c>
      <c r="G24" s="18" t="s">
        <v>69</v>
      </c>
      <c r="H24" s="158"/>
      <c r="I24" s="16"/>
      <c r="J24" s="16"/>
      <c r="M24" s="103">
        <v>181920.6</v>
      </c>
      <c r="N24" s="103">
        <f>M24</f>
        <v>181920.6</v>
      </c>
    </row>
    <row r="25" spans="2:14" ht="50.25" customHeight="1">
      <c r="B25" s="19" t="s">
        <v>81</v>
      </c>
      <c r="C25" s="5" t="s">
        <v>96</v>
      </c>
      <c r="D25" s="20" t="s">
        <v>83</v>
      </c>
      <c r="E25" s="21">
        <v>3.42</v>
      </c>
      <c r="F25" s="22">
        <f>$M$24/$M$25*E25</f>
        <v>34855.375462184871</v>
      </c>
      <c r="G25" s="23">
        <f>$N$24/$N$25*E25</f>
        <v>34855.375462184871</v>
      </c>
      <c r="H25" s="24">
        <f>F25-G25</f>
        <v>0</v>
      </c>
      <c r="I25" s="25"/>
      <c r="J25" s="25"/>
      <c r="K25" s="130"/>
      <c r="L25" s="26"/>
      <c r="M25" s="104">
        <f>E34-E32</f>
        <v>17.850000000000001</v>
      </c>
      <c r="N25" s="104">
        <f>E34-E32</f>
        <v>17.850000000000001</v>
      </c>
    </row>
    <row r="26" spans="2:14" ht="56.25">
      <c r="B26" s="27" t="s">
        <v>75</v>
      </c>
      <c r="C26" s="5" t="s">
        <v>96</v>
      </c>
      <c r="D26" s="20" t="s">
        <v>83</v>
      </c>
      <c r="E26" s="6">
        <v>3.8</v>
      </c>
      <c r="F26" s="22">
        <f>$M$24/$M$25*E26</f>
        <v>38728.194957983193</v>
      </c>
      <c r="G26" s="23">
        <f>$N$24/$N$25*E26</f>
        <v>38728.194957983193</v>
      </c>
      <c r="H26" s="24">
        <f t="shared" ref="H26:H31" si="0">F26-G26</f>
        <v>0</v>
      </c>
      <c r="I26" s="25"/>
      <c r="J26" s="25"/>
      <c r="K26" s="2"/>
      <c r="L26" s="2"/>
      <c r="M26" s="105"/>
      <c r="N26" s="105"/>
    </row>
    <row r="27" spans="2:14" ht="52.5" customHeight="1">
      <c r="B27" s="28" t="s">
        <v>70</v>
      </c>
      <c r="C27" s="5" t="s">
        <v>96</v>
      </c>
      <c r="D27" s="20" t="s">
        <v>83</v>
      </c>
      <c r="E27" s="6">
        <v>0.35</v>
      </c>
      <c r="F27" s="22">
        <f t="shared" ref="F27:F31" si="1">$M$24/$M$25*E27</f>
        <v>3567.0705882352941</v>
      </c>
      <c r="G27" s="23">
        <f t="shared" ref="G27:G30" si="2">$N$24/$N$25*E27</f>
        <v>3567.0705882352941</v>
      </c>
      <c r="H27" s="24">
        <f t="shared" si="0"/>
        <v>0</v>
      </c>
      <c r="I27" s="25"/>
      <c r="J27" s="25"/>
      <c r="L27" s="10"/>
    </row>
    <row r="28" spans="2:14" ht="25.5">
      <c r="B28" s="28" t="s">
        <v>84</v>
      </c>
      <c r="C28" s="29" t="s">
        <v>85</v>
      </c>
      <c r="D28" s="20" t="s">
        <v>83</v>
      </c>
      <c r="E28" s="6">
        <v>0</v>
      </c>
      <c r="F28" s="22">
        <f t="shared" si="1"/>
        <v>0</v>
      </c>
      <c r="G28" s="23">
        <f t="shared" si="2"/>
        <v>0</v>
      </c>
      <c r="H28" s="24">
        <f t="shared" si="0"/>
        <v>0</v>
      </c>
      <c r="I28" s="25"/>
      <c r="J28" s="25"/>
      <c r="L28" s="10"/>
    </row>
    <row r="29" spans="2:14" ht="51">
      <c r="B29" s="27" t="s">
        <v>71</v>
      </c>
      <c r="C29" s="5" t="s">
        <v>97</v>
      </c>
      <c r="D29" s="20" t="s">
        <v>83</v>
      </c>
      <c r="E29" s="6">
        <v>1.9</v>
      </c>
      <c r="F29" s="22">
        <f t="shared" si="1"/>
        <v>19364.097478991596</v>
      </c>
      <c r="G29" s="23">
        <f t="shared" si="2"/>
        <v>19364.097478991596</v>
      </c>
      <c r="H29" s="24">
        <f t="shared" si="0"/>
        <v>0</v>
      </c>
      <c r="I29" s="25"/>
      <c r="J29" s="25"/>
    </row>
    <row r="30" spans="2:14" ht="227.25" customHeight="1">
      <c r="B30" s="27" t="s">
        <v>94</v>
      </c>
      <c r="C30" s="30" t="s">
        <v>86</v>
      </c>
      <c r="D30" s="20" t="s">
        <v>83</v>
      </c>
      <c r="E30" s="6">
        <v>7.17</v>
      </c>
      <c r="F30" s="22">
        <f t="shared" si="1"/>
        <v>73073.98890756302</v>
      </c>
      <c r="G30" s="23">
        <f t="shared" si="2"/>
        <v>73073.98890756302</v>
      </c>
      <c r="H30" s="24">
        <f t="shared" si="0"/>
        <v>0</v>
      </c>
      <c r="I30" s="25"/>
      <c r="J30" s="25"/>
      <c r="K30" s="2"/>
      <c r="L30" s="1"/>
      <c r="M30" s="105"/>
      <c r="N30" s="105"/>
    </row>
    <row r="31" spans="2:14" ht="129" customHeight="1">
      <c r="B31" s="27" t="s">
        <v>87</v>
      </c>
      <c r="C31" s="5" t="s">
        <v>96</v>
      </c>
      <c r="D31" s="20" t="s">
        <v>83</v>
      </c>
      <c r="E31" s="6">
        <v>0.3</v>
      </c>
      <c r="F31" s="22">
        <f t="shared" si="1"/>
        <v>3057.489075630252</v>
      </c>
      <c r="G31" s="23">
        <f t="shared" ref="G31" si="3">$N$24/$N$25*E31</f>
        <v>3057.489075630252</v>
      </c>
      <c r="H31" s="24">
        <f t="shared" si="0"/>
        <v>0</v>
      </c>
      <c r="I31" s="25"/>
      <c r="J31" s="25"/>
    </row>
    <row r="32" spans="2:14" ht="56.25">
      <c r="B32" s="28" t="s">
        <v>88</v>
      </c>
      <c r="C32" s="5" t="s">
        <v>96</v>
      </c>
      <c r="D32" s="20" t="s">
        <v>83</v>
      </c>
      <c r="E32" s="6">
        <v>4</v>
      </c>
      <c r="F32" s="22">
        <v>40766.519999999997</v>
      </c>
      <c r="G32" s="4">
        <v>17191</v>
      </c>
      <c r="H32" s="24">
        <f>F32-G32</f>
        <v>23575.519999999997</v>
      </c>
      <c r="I32" s="25"/>
      <c r="J32" s="25"/>
      <c r="L32" s="10"/>
    </row>
    <row r="33" spans="2:14" ht="16.5" thickBot="1">
      <c r="B33" s="31" t="s">
        <v>73</v>
      </c>
      <c r="C33" s="32" t="s">
        <v>86</v>
      </c>
      <c r="D33" s="33" t="s">
        <v>83</v>
      </c>
      <c r="E33" s="34">
        <v>0.91</v>
      </c>
      <c r="F33" s="22">
        <f>$M$24/$M$25*E33</f>
        <v>9274.3835294117653</v>
      </c>
      <c r="G33" s="23">
        <f t="shared" ref="G33" si="4">$N$24/$N$25*E33</f>
        <v>9274.3835294117653</v>
      </c>
      <c r="H33" s="35">
        <f>F33-G33</f>
        <v>0</v>
      </c>
      <c r="I33" s="25"/>
      <c r="J33" s="25"/>
    </row>
    <row r="34" spans="2:14" ht="16.5" thickBot="1">
      <c r="B34" s="36" t="s">
        <v>74</v>
      </c>
      <c r="C34" s="37"/>
      <c r="D34" s="37"/>
      <c r="E34" s="38">
        <f>SUM(E25:E33)</f>
        <v>21.85</v>
      </c>
      <c r="F34" s="39">
        <f>SUM(F25:F33)</f>
        <v>222687.12</v>
      </c>
      <c r="G34" s="40">
        <f>SUM(G25:G33)</f>
        <v>199111.6</v>
      </c>
      <c r="H34" s="41">
        <f>SUM(H25:H33)</f>
        <v>23575.519999999997</v>
      </c>
      <c r="I34" s="42"/>
      <c r="J34" s="42"/>
    </row>
    <row r="35" spans="2:14">
      <c r="B35" s="10"/>
      <c r="C35" s="10"/>
      <c r="D35" s="10"/>
      <c r="E35" s="132"/>
      <c r="F35" s="132"/>
      <c r="G35" s="132"/>
      <c r="H35" s="133"/>
      <c r="I35" s="133"/>
      <c r="J35" s="133"/>
    </row>
    <row r="36" spans="2:14" ht="16.5" customHeight="1" thickBot="1">
      <c r="B36" s="192" t="s">
        <v>135</v>
      </c>
      <c r="C36" s="192"/>
      <c r="D36" s="192"/>
      <c r="E36" s="192"/>
      <c r="F36" s="192"/>
      <c r="G36" s="192"/>
      <c r="H36" s="192"/>
      <c r="I36" s="43"/>
      <c r="J36" s="43"/>
    </row>
    <row r="37" spans="2:14" ht="44.25" customHeight="1" thickBot="1">
      <c r="B37" s="88" t="s">
        <v>136</v>
      </c>
      <c r="C37" s="135" t="s">
        <v>89</v>
      </c>
      <c r="D37" s="136"/>
      <c r="E37" s="147" t="s">
        <v>10</v>
      </c>
      <c r="F37" s="148"/>
      <c r="G37" s="147" t="s">
        <v>11</v>
      </c>
      <c r="H37" s="163"/>
      <c r="I37" s="44"/>
      <c r="J37" s="44"/>
      <c r="K37" s="45"/>
      <c r="L37" s="46"/>
      <c r="M37" s="106"/>
      <c r="N37" s="106"/>
    </row>
    <row r="38" spans="2:14">
      <c r="B38" s="89" t="s">
        <v>12</v>
      </c>
      <c r="C38" s="137">
        <f>E38+G38</f>
        <v>1965253.6700000004</v>
      </c>
      <c r="D38" s="138"/>
      <c r="E38" s="173">
        <f>F25+F26+F27+F28+F29+F30+F31+F33+E16</f>
        <v>1615404.0500000005</v>
      </c>
      <c r="F38" s="174"/>
      <c r="G38" s="173">
        <f>F32+G16</f>
        <v>349849.62</v>
      </c>
      <c r="H38" s="175"/>
      <c r="I38" s="48"/>
      <c r="J38" s="48"/>
      <c r="K38" s="7"/>
      <c r="L38" s="7"/>
      <c r="M38" s="107"/>
    </row>
    <row r="39" spans="2:14">
      <c r="B39" s="47" t="s">
        <v>13</v>
      </c>
      <c r="C39" s="142">
        <f>E39+G39</f>
        <v>1875305.5799999998</v>
      </c>
      <c r="D39" s="143"/>
      <c r="E39" s="142">
        <f>E17+163159.97</f>
        <v>1543027.9</v>
      </c>
      <c r="F39" s="143"/>
      <c r="G39" s="142">
        <f>G17+36562.46</f>
        <v>332277.68</v>
      </c>
      <c r="H39" s="144"/>
      <c r="I39" s="48"/>
      <c r="J39" s="48"/>
      <c r="K39" s="9"/>
      <c r="L39" s="7"/>
      <c r="M39" s="107"/>
    </row>
    <row r="40" spans="2:14">
      <c r="B40" s="49" t="s">
        <v>63</v>
      </c>
      <c r="C40" s="142">
        <f>E40+G40</f>
        <v>1859202.1271000004</v>
      </c>
      <c r="D40" s="143"/>
      <c r="E40" s="170">
        <f>G25+G26+G27+G28+G29+G30+G31+G33+E18</f>
        <v>1609761.1271000004</v>
      </c>
      <c r="F40" s="171"/>
      <c r="G40" s="170">
        <f>G32+G18</f>
        <v>249441</v>
      </c>
      <c r="H40" s="172"/>
      <c r="I40" s="48"/>
      <c r="J40" s="48"/>
      <c r="K40" s="50"/>
      <c r="L40" s="50"/>
    </row>
    <row r="41" spans="2:14" ht="16.5" thickBot="1">
      <c r="B41" s="59" t="s">
        <v>114</v>
      </c>
      <c r="C41" s="145">
        <f>E41+G41</f>
        <v>36000</v>
      </c>
      <c r="D41" s="146"/>
      <c r="E41" s="145">
        <f>E19+3600</f>
        <v>36000</v>
      </c>
      <c r="F41" s="146"/>
      <c r="G41" s="145">
        <f>G19</f>
        <v>0</v>
      </c>
      <c r="H41" s="160"/>
      <c r="I41" s="48"/>
      <c r="J41" s="48"/>
      <c r="K41" s="50"/>
      <c r="L41" s="50"/>
    </row>
    <row r="42" spans="2:14" ht="25.5" thickBot="1">
      <c r="B42" s="11" t="s">
        <v>116</v>
      </c>
      <c r="C42" s="161">
        <f>E42+G42</f>
        <v>52103.452899999509</v>
      </c>
      <c r="D42" s="162"/>
      <c r="E42" s="139">
        <f>E39+E41-E40</f>
        <v>-30733.227100000484</v>
      </c>
      <c r="F42" s="140"/>
      <c r="G42" s="139">
        <f>G39-G40</f>
        <v>82836.679999999993</v>
      </c>
      <c r="H42" s="141"/>
      <c r="I42" s="48"/>
      <c r="J42" s="48"/>
      <c r="K42" s="50"/>
      <c r="L42" s="50"/>
    </row>
    <row r="43" spans="2:14" ht="34.5" customHeight="1">
      <c r="B43" s="124" t="s">
        <v>64</v>
      </c>
      <c r="C43" s="167" t="s">
        <v>121</v>
      </c>
      <c r="D43" s="167"/>
      <c r="E43" s="167"/>
      <c r="F43" s="165" t="s">
        <v>126</v>
      </c>
      <c r="G43" s="165"/>
      <c r="H43" s="124"/>
      <c r="I43" s="124"/>
      <c r="J43" s="124"/>
      <c r="K43" s="2"/>
      <c r="L43" s="2"/>
      <c r="M43" s="105"/>
      <c r="N43" s="105"/>
    </row>
    <row r="44" spans="2:14" ht="11.25" customHeight="1">
      <c r="B44" s="124"/>
      <c r="C44" s="124"/>
      <c r="D44" s="124"/>
      <c r="E44" s="125"/>
      <c r="F44" s="166"/>
      <c r="G44" s="166"/>
      <c r="H44" s="126"/>
      <c r="I44" s="126"/>
      <c r="J44" s="126"/>
      <c r="K44" s="2"/>
      <c r="L44" s="2"/>
      <c r="M44" s="105"/>
      <c r="N44" s="105"/>
    </row>
    <row r="45" spans="2:14">
      <c r="B45" s="124" t="s">
        <v>65</v>
      </c>
      <c r="C45" s="167" t="s">
        <v>121</v>
      </c>
      <c r="D45" s="167"/>
      <c r="E45" s="167"/>
      <c r="F45" s="165" t="s">
        <v>76</v>
      </c>
      <c r="G45" s="165"/>
      <c r="H45" s="124"/>
      <c r="I45" s="124"/>
      <c r="J45" s="124"/>
      <c r="K45" s="2"/>
      <c r="L45" s="2"/>
      <c r="M45" s="105"/>
      <c r="N45" s="105"/>
    </row>
    <row r="46" spans="2:14" ht="9.75" customHeight="1">
      <c r="B46" s="124"/>
      <c r="C46" s="124"/>
      <c r="D46" s="124"/>
      <c r="E46" s="125"/>
      <c r="F46" s="165"/>
      <c r="G46" s="165"/>
      <c r="H46" s="124"/>
      <c r="I46" s="124"/>
      <c r="J46" s="124"/>
    </row>
    <row r="47" spans="2:14">
      <c r="B47" s="124" t="s">
        <v>66</v>
      </c>
      <c r="C47" s="167" t="s">
        <v>121</v>
      </c>
      <c r="D47" s="167"/>
      <c r="E47" s="167"/>
      <c r="F47" s="165" t="s">
        <v>127</v>
      </c>
      <c r="G47" s="165"/>
      <c r="H47" s="124"/>
      <c r="I47" s="124"/>
      <c r="J47" s="124"/>
    </row>
    <row r="48" spans="2:14" ht="8.25" customHeight="1">
      <c r="B48" s="51"/>
      <c r="C48" s="51"/>
      <c r="D48" s="51"/>
      <c r="E48" s="125"/>
      <c r="F48" s="52"/>
      <c r="G48" s="53"/>
      <c r="H48" s="54"/>
      <c r="I48" s="54"/>
      <c r="J48" s="54"/>
    </row>
    <row r="49" spans="2:7">
      <c r="B49" s="124" t="s">
        <v>67</v>
      </c>
      <c r="C49" s="167" t="s">
        <v>121</v>
      </c>
      <c r="D49" s="167"/>
      <c r="E49" s="167"/>
      <c r="F49" s="165" t="s">
        <v>127</v>
      </c>
      <c r="G49" s="165"/>
    </row>
    <row r="50" spans="2:7" ht="9" customHeight="1">
      <c r="B50" s="55"/>
      <c r="C50" s="55"/>
      <c r="D50" s="55"/>
      <c r="E50" s="125"/>
      <c r="F50" s="164"/>
      <c r="G50" s="164"/>
    </row>
    <row r="51" spans="2:7">
      <c r="E51" s="129"/>
    </row>
  </sheetData>
  <mergeCells count="61">
    <mergeCell ref="C45:E45"/>
    <mergeCell ref="C47:E47"/>
    <mergeCell ref="C49:E49"/>
    <mergeCell ref="M22:M23"/>
    <mergeCell ref="N22:N23"/>
    <mergeCell ref="C37:D37"/>
    <mergeCell ref="C38:D38"/>
    <mergeCell ref="C39:D39"/>
    <mergeCell ref="B36:H36"/>
    <mergeCell ref="E37:F37"/>
    <mergeCell ref="G37:H37"/>
    <mergeCell ref="E38:F38"/>
    <mergeCell ref="G38:H38"/>
    <mergeCell ref="E39:F39"/>
    <mergeCell ref="G39:H39"/>
    <mergeCell ref="C40:D40"/>
    <mergeCell ref="C15:D15"/>
    <mergeCell ref="C16:D16"/>
    <mergeCell ref="C17:D17"/>
    <mergeCell ref="C18:D18"/>
    <mergeCell ref="C19:D19"/>
    <mergeCell ref="B1:H1"/>
    <mergeCell ref="B22:H22"/>
    <mergeCell ref="B23:B24"/>
    <mergeCell ref="C23:C24"/>
    <mergeCell ref="D23:D24"/>
    <mergeCell ref="E23:E24"/>
    <mergeCell ref="F23:G23"/>
    <mergeCell ref="H23:H24"/>
    <mergeCell ref="B2:H3"/>
    <mergeCell ref="D5:E5"/>
    <mergeCell ref="B14:H14"/>
    <mergeCell ref="E15:F15"/>
    <mergeCell ref="G15:H15"/>
    <mergeCell ref="E16:F16"/>
    <mergeCell ref="G16:H16"/>
    <mergeCell ref="E17:F17"/>
    <mergeCell ref="F44:G44"/>
    <mergeCell ref="E42:F42"/>
    <mergeCell ref="E41:F41"/>
    <mergeCell ref="G41:H41"/>
    <mergeCell ref="G42:H42"/>
    <mergeCell ref="C41:D41"/>
    <mergeCell ref="C42:D42"/>
    <mergeCell ref="E40:F40"/>
    <mergeCell ref="G40:H40"/>
    <mergeCell ref="C43:E43"/>
    <mergeCell ref="F43:G43"/>
    <mergeCell ref="F49:G49"/>
    <mergeCell ref="F50:G50"/>
    <mergeCell ref="F45:G45"/>
    <mergeCell ref="F46:G46"/>
    <mergeCell ref="F47:G47"/>
    <mergeCell ref="C20:D20"/>
    <mergeCell ref="G17:H17"/>
    <mergeCell ref="E20:F20"/>
    <mergeCell ref="G20:H20"/>
    <mergeCell ref="E18:F18"/>
    <mergeCell ref="G18:H18"/>
    <mergeCell ref="E19:F19"/>
    <mergeCell ref="G19:H19"/>
  </mergeCells>
  <printOptions horizontalCentered="1"/>
  <pageMargins left="0.19685039370078741" right="0.23622047244094491" top="0.19685039370078741" bottom="0.23622047244094491" header="0.31496062992125984" footer="0.31496062992125984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49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5.42578125" style="3" customWidth="1"/>
    <col min="3" max="3" width="23.5703125" style="56" customWidth="1"/>
    <col min="4" max="4" width="8.28515625" style="133" customWidth="1"/>
    <col min="5" max="5" width="10.28515625" style="133" customWidth="1"/>
    <col min="6" max="6" width="9.5703125" style="3" customWidth="1"/>
    <col min="7" max="7" width="10.28515625" style="3" customWidth="1"/>
    <col min="8" max="8" width="10.7109375" style="3" customWidth="1"/>
    <col min="9" max="9" width="12.28515625" style="3" customWidth="1"/>
    <col min="10" max="12" width="9.140625" style="3"/>
    <col min="13" max="13" width="13.7109375" style="102" customWidth="1"/>
    <col min="14" max="14" width="15.5703125" style="102" customWidth="1"/>
    <col min="15" max="16384" width="9.140625" style="3"/>
  </cols>
  <sheetData>
    <row r="1" spans="2:9">
      <c r="B1" s="150" t="s">
        <v>91</v>
      </c>
      <c r="C1" s="150"/>
      <c r="D1" s="150"/>
      <c r="E1" s="150"/>
      <c r="F1" s="150"/>
      <c r="G1" s="150"/>
      <c r="H1" s="150"/>
    </row>
    <row r="2" spans="2:9" ht="19.5" customHeight="1">
      <c r="B2" s="200" t="s">
        <v>137</v>
      </c>
      <c r="C2" s="200"/>
      <c r="D2" s="200"/>
      <c r="E2" s="200"/>
      <c r="F2" s="200"/>
      <c r="G2" s="200"/>
      <c r="H2" s="200"/>
    </row>
    <row r="3" spans="2:9" ht="20.25" customHeight="1">
      <c r="B3" s="200"/>
      <c r="C3" s="200"/>
      <c r="D3" s="200"/>
      <c r="E3" s="200"/>
      <c r="F3" s="200"/>
      <c r="G3" s="200"/>
      <c r="H3" s="200"/>
    </row>
    <row r="4" spans="2:9" ht="13.5" customHeight="1"/>
    <row r="5" spans="2:9">
      <c r="B5" s="3" t="s">
        <v>0</v>
      </c>
      <c r="D5" s="159" t="s">
        <v>26</v>
      </c>
      <c r="E5" s="159"/>
    </row>
    <row r="6" spans="2:9">
      <c r="B6" s="3" t="s">
        <v>1</v>
      </c>
      <c r="D6" s="128">
        <v>1990</v>
      </c>
      <c r="E6" s="128"/>
    </row>
    <row r="7" spans="2:9" hidden="1" outlineLevel="1">
      <c r="B7" s="3" t="s">
        <v>2</v>
      </c>
      <c r="D7" s="128">
        <v>3</v>
      </c>
      <c r="E7" s="128"/>
    </row>
    <row r="8" spans="2:9" hidden="1" outlineLevel="1">
      <c r="B8" s="3" t="s">
        <v>3</v>
      </c>
      <c r="D8" s="128">
        <v>25</v>
      </c>
      <c r="E8" s="128"/>
    </row>
    <row r="9" spans="2:9" ht="30.75" hidden="1" customHeight="1" outlineLevel="1">
      <c r="B9" s="13" t="s">
        <v>4</v>
      </c>
      <c r="C9" s="57"/>
      <c r="D9" s="128" t="s">
        <v>27</v>
      </c>
      <c r="E9" s="128"/>
    </row>
    <row r="10" spans="2:9" collapsed="1">
      <c r="B10" s="3" t="s">
        <v>5</v>
      </c>
      <c r="D10" s="128" t="s">
        <v>102</v>
      </c>
      <c r="E10" s="128"/>
      <c r="I10" s="10"/>
    </row>
    <row r="11" spans="2:9" hidden="1" outlineLevel="1">
      <c r="B11" s="3" t="s">
        <v>6</v>
      </c>
      <c r="D11" s="128" t="s">
        <v>7</v>
      </c>
      <c r="E11" s="128"/>
    </row>
    <row r="12" spans="2:9" ht="30.75" hidden="1" customHeight="1" outlineLevel="1">
      <c r="B12" s="13" t="s">
        <v>8</v>
      </c>
      <c r="C12" s="57"/>
      <c r="D12" s="101" t="s">
        <v>28</v>
      </c>
      <c r="E12" s="128"/>
      <c r="I12" s="10"/>
    </row>
    <row r="13" spans="2:9" collapsed="1">
      <c r="B13" s="13"/>
      <c r="C13" s="57"/>
      <c r="D13" s="101"/>
      <c r="E13" s="128"/>
      <c r="I13" s="10"/>
    </row>
    <row r="14" spans="2:9" ht="16.5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2:9" ht="45.7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2:9">
      <c r="B16" s="89" t="s">
        <v>12</v>
      </c>
      <c r="C16" s="137">
        <v>3567881.6132368604</v>
      </c>
      <c r="D16" s="176"/>
      <c r="E16" s="173">
        <v>2529182.6732368604</v>
      </c>
      <c r="F16" s="174"/>
      <c r="G16" s="173">
        <v>1038698.94</v>
      </c>
      <c r="H16" s="175"/>
      <c r="I16" s="10"/>
    </row>
    <row r="17" spans="2:14">
      <c r="B17" s="47" t="s">
        <v>13</v>
      </c>
      <c r="C17" s="142">
        <v>3118927.62</v>
      </c>
      <c r="D17" s="177"/>
      <c r="E17" s="142">
        <v>2215495.96</v>
      </c>
      <c r="F17" s="143"/>
      <c r="G17" s="142">
        <v>903431.65999999992</v>
      </c>
      <c r="H17" s="144"/>
      <c r="I17" s="10"/>
    </row>
    <row r="18" spans="2:14" ht="16.5" thickBot="1">
      <c r="B18" s="49" t="s">
        <v>63</v>
      </c>
      <c r="C18" s="145">
        <v>3452487.1385767539</v>
      </c>
      <c r="D18" s="178"/>
      <c r="E18" s="170">
        <v>2520175.1385767539</v>
      </c>
      <c r="F18" s="171"/>
      <c r="G18" s="170">
        <v>932312</v>
      </c>
      <c r="H18" s="172"/>
      <c r="I18" s="10"/>
    </row>
    <row r="19" spans="2:14" ht="36.75" thickBot="1">
      <c r="B19" s="11" t="s">
        <v>115</v>
      </c>
      <c r="C19" s="161">
        <f>E19+G19</f>
        <v>-333559.51857675402</v>
      </c>
      <c r="D19" s="162"/>
      <c r="E19" s="139">
        <f>E17-E18</f>
        <v>-304679.17857675394</v>
      </c>
      <c r="F19" s="140"/>
      <c r="G19" s="139">
        <f>G17-G18</f>
        <v>-28880.340000000084</v>
      </c>
      <c r="H19" s="141"/>
      <c r="I19" s="10"/>
    </row>
    <row r="20" spans="2:14">
      <c r="B20" s="13"/>
      <c r="C20" s="57"/>
      <c r="D20" s="101"/>
      <c r="E20" s="128"/>
      <c r="I20" s="10"/>
    </row>
    <row r="21" spans="2:14" ht="24" customHeight="1" thickBot="1">
      <c r="B21" s="208" t="s">
        <v>133</v>
      </c>
      <c r="C21" s="208"/>
      <c r="D21" s="208"/>
      <c r="E21" s="208"/>
      <c r="F21" s="208"/>
      <c r="G21" s="208"/>
      <c r="H21" s="208"/>
      <c r="I21" s="15"/>
      <c r="J21" s="15"/>
      <c r="L21" s="10"/>
      <c r="M21" s="168" t="s">
        <v>117</v>
      </c>
      <c r="N21" s="168" t="s">
        <v>118</v>
      </c>
    </row>
    <row r="22" spans="2:14" ht="27.75" customHeight="1">
      <c r="B22" s="151" t="s">
        <v>77</v>
      </c>
      <c r="C22" s="153" t="s">
        <v>78</v>
      </c>
      <c r="D22" s="153" t="s">
        <v>79</v>
      </c>
      <c r="E22" s="195" t="s">
        <v>134</v>
      </c>
      <c r="F22" s="155" t="s">
        <v>80</v>
      </c>
      <c r="G22" s="156"/>
      <c r="H22" s="157" t="s">
        <v>98</v>
      </c>
      <c r="I22" s="16"/>
      <c r="J22" s="16"/>
      <c r="L22" s="10"/>
      <c r="M22" s="169"/>
      <c r="N22" s="169"/>
    </row>
    <row r="23" spans="2:14" ht="45" customHeight="1" thickBot="1">
      <c r="B23" s="152"/>
      <c r="C23" s="154"/>
      <c r="D23" s="154"/>
      <c r="E23" s="196"/>
      <c r="F23" s="17" t="s">
        <v>68</v>
      </c>
      <c r="G23" s="18" t="s">
        <v>69</v>
      </c>
      <c r="H23" s="158"/>
      <c r="I23" s="16"/>
      <c r="J23" s="16"/>
      <c r="M23" s="103">
        <v>342004.93</v>
      </c>
      <c r="N23" s="103">
        <f>M23</f>
        <v>342004.93</v>
      </c>
    </row>
    <row r="24" spans="2:14" ht="50.25" customHeight="1">
      <c r="B24" s="19" t="s">
        <v>81</v>
      </c>
      <c r="C24" s="5" t="s">
        <v>96</v>
      </c>
      <c r="D24" s="20" t="s">
        <v>83</v>
      </c>
      <c r="E24" s="21">
        <v>3.42</v>
      </c>
      <c r="F24" s="22">
        <f>$M$23/$M$24*E24</f>
        <v>63361.693423618657</v>
      </c>
      <c r="G24" s="23">
        <f>$N$23/$N$24*E24</f>
        <v>63361.693423618657</v>
      </c>
      <c r="H24" s="24">
        <f>F24-G24</f>
        <v>0</v>
      </c>
      <c r="I24" s="25"/>
      <c r="J24" s="25"/>
      <c r="K24" s="130"/>
      <c r="L24" s="26"/>
      <c r="M24" s="104">
        <f>E33-E31</f>
        <v>18.459999999999994</v>
      </c>
      <c r="N24" s="104">
        <f>E33-E31</f>
        <v>18.459999999999994</v>
      </c>
    </row>
    <row r="25" spans="2:14" ht="51">
      <c r="B25" s="27" t="s">
        <v>75</v>
      </c>
      <c r="C25" s="5" t="s">
        <v>96</v>
      </c>
      <c r="D25" s="20" t="s">
        <v>83</v>
      </c>
      <c r="E25" s="6">
        <v>3.8</v>
      </c>
      <c r="F25" s="22">
        <f>$M$23/$M$24*E25</f>
        <v>70401.881581798501</v>
      </c>
      <c r="G25" s="23">
        <f>$N$23/$N$24*E25</f>
        <v>70401.881581798501</v>
      </c>
      <c r="H25" s="24">
        <f t="shared" ref="H25:H30" si="0">F25-G25</f>
        <v>0</v>
      </c>
      <c r="I25" s="25"/>
      <c r="J25" s="25"/>
      <c r="K25" s="2"/>
      <c r="L25" s="2"/>
      <c r="M25" s="105"/>
      <c r="N25" s="105"/>
    </row>
    <row r="26" spans="2:14" ht="52.5" customHeight="1">
      <c r="B26" s="28" t="s">
        <v>70</v>
      </c>
      <c r="C26" s="5" t="s">
        <v>96</v>
      </c>
      <c r="D26" s="20" t="s">
        <v>83</v>
      </c>
      <c r="E26" s="6">
        <v>0.35</v>
      </c>
      <c r="F26" s="22">
        <f t="shared" ref="F26:F32" si="1">$M$23/$M$24*E26</f>
        <v>6484.3838299024937</v>
      </c>
      <c r="G26" s="23">
        <f t="shared" ref="G26:G29" si="2">$N$23/$N$24*E26</f>
        <v>6484.3838299024937</v>
      </c>
      <c r="H26" s="24">
        <f t="shared" si="0"/>
        <v>0</v>
      </c>
      <c r="I26" s="25"/>
      <c r="J26" s="25"/>
      <c r="L26" s="10"/>
    </row>
    <row r="27" spans="2:14" ht="25.5">
      <c r="B27" s="28" t="s">
        <v>84</v>
      </c>
      <c r="C27" s="29" t="s">
        <v>85</v>
      </c>
      <c r="D27" s="20" t="s">
        <v>83</v>
      </c>
      <c r="E27" s="6">
        <v>0</v>
      </c>
      <c r="F27" s="22">
        <f>($M$23/12*2)/$M$24*E27</f>
        <v>0</v>
      </c>
      <c r="G27" s="23">
        <f>($N$23/12*2)/$N$24*E27</f>
        <v>0</v>
      </c>
      <c r="H27" s="24">
        <f t="shared" si="0"/>
        <v>0</v>
      </c>
      <c r="I27" s="25"/>
      <c r="J27" s="25"/>
      <c r="L27" s="10"/>
    </row>
    <row r="28" spans="2:14" ht="51">
      <c r="B28" s="27" t="s">
        <v>71</v>
      </c>
      <c r="C28" s="5" t="s">
        <v>97</v>
      </c>
      <c r="D28" s="20" t="s">
        <v>83</v>
      </c>
      <c r="E28" s="6">
        <v>1.92</v>
      </c>
      <c r="F28" s="22">
        <f t="shared" si="1"/>
        <v>35571.477009750823</v>
      </c>
      <c r="G28" s="23">
        <f t="shared" si="2"/>
        <v>35571.477009750823</v>
      </c>
      <c r="H28" s="24">
        <f t="shared" si="0"/>
        <v>0</v>
      </c>
      <c r="I28" s="25"/>
      <c r="J28" s="25"/>
    </row>
    <row r="29" spans="2:14" ht="228" customHeight="1">
      <c r="B29" s="27" t="s">
        <v>94</v>
      </c>
      <c r="C29" s="30" t="s">
        <v>86</v>
      </c>
      <c r="D29" s="20" t="s">
        <v>83</v>
      </c>
      <c r="E29" s="6">
        <v>7.17</v>
      </c>
      <c r="F29" s="22">
        <f t="shared" si="1"/>
        <v>132837.23445828824</v>
      </c>
      <c r="G29" s="23">
        <f t="shared" si="2"/>
        <v>132837.23445828824</v>
      </c>
      <c r="H29" s="24">
        <f t="shared" si="0"/>
        <v>0</v>
      </c>
      <c r="I29" s="25"/>
      <c r="J29" s="25"/>
      <c r="K29" s="2"/>
      <c r="L29" s="1"/>
      <c r="M29" s="105"/>
      <c r="N29" s="105"/>
    </row>
    <row r="30" spans="2:14" ht="108.75" customHeight="1">
      <c r="B30" s="27" t="s">
        <v>87</v>
      </c>
      <c r="C30" s="5" t="s">
        <v>96</v>
      </c>
      <c r="D30" s="20" t="s">
        <v>83</v>
      </c>
      <c r="E30" s="6">
        <v>0.5</v>
      </c>
      <c r="F30" s="22">
        <f t="shared" si="1"/>
        <v>9263.4054712892776</v>
      </c>
      <c r="G30" s="23">
        <f t="shared" ref="G30" si="3">$N$23/$N$24*E30</f>
        <v>9263.4054712892776</v>
      </c>
      <c r="H30" s="24">
        <f t="shared" si="0"/>
        <v>0</v>
      </c>
      <c r="I30" s="25"/>
      <c r="J30" s="25"/>
    </row>
    <row r="31" spans="2:14" ht="51.75" customHeight="1">
      <c r="B31" s="28" t="s">
        <v>88</v>
      </c>
      <c r="C31" s="5" t="s">
        <v>96</v>
      </c>
      <c r="D31" s="20" t="s">
        <v>83</v>
      </c>
      <c r="E31" s="6">
        <v>5.15</v>
      </c>
      <c r="F31" s="22">
        <v>95413.07</v>
      </c>
      <c r="G31" s="4">
        <v>824</v>
      </c>
      <c r="H31" s="24">
        <f>F31-G31</f>
        <v>94589.07</v>
      </c>
      <c r="I31" s="25"/>
      <c r="J31" s="25"/>
      <c r="L31" s="10"/>
    </row>
    <row r="32" spans="2:14" ht="16.5" thickBot="1">
      <c r="B32" s="31" t="s">
        <v>73</v>
      </c>
      <c r="C32" s="32" t="s">
        <v>86</v>
      </c>
      <c r="D32" s="33" t="s">
        <v>83</v>
      </c>
      <c r="E32" s="34">
        <v>1.3</v>
      </c>
      <c r="F32" s="22">
        <f t="shared" si="1"/>
        <v>24084.854225352123</v>
      </c>
      <c r="G32" s="23">
        <f t="shared" ref="G32" si="4">$N$23/$N$24*E32</f>
        <v>24084.854225352123</v>
      </c>
      <c r="H32" s="35">
        <f>F32-G32</f>
        <v>0</v>
      </c>
      <c r="I32" s="25"/>
      <c r="J32" s="25"/>
    </row>
    <row r="33" spans="2:14" ht="16.5" thickBot="1">
      <c r="B33" s="36" t="s">
        <v>74</v>
      </c>
      <c r="C33" s="37"/>
      <c r="D33" s="37"/>
      <c r="E33" s="38">
        <f>SUM(E24:E32)</f>
        <v>23.609999999999996</v>
      </c>
      <c r="F33" s="39">
        <f>SUM(F24:F32)</f>
        <v>437418.00000000012</v>
      </c>
      <c r="G33" s="40">
        <f>SUM(G24:G32)</f>
        <v>342828.93000000011</v>
      </c>
      <c r="H33" s="41">
        <f>SUM(H24:H32)</f>
        <v>94589.07</v>
      </c>
      <c r="I33" s="42"/>
      <c r="J33" s="42"/>
    </row>
    <row r="34" spans="2:14">
      <c r="B34" s="10"/>
      <c r="C34" s="10"/>
      <c r="D34" s="10"/>
      <c r="E34" s="132"/>
      <c r="F34" s="132"/>
      <c r="G34" s="132"/>
      <c r="H34" s="133"/>
      <c r="I34" s="133"/>
      <c r="J34" s="133"/>
    </row>
    <row r="35" spans="2:14" ht="16.5" customHeight="1" thickBot="1">
      <c r="B35" s="192" t="s">
        <v>135</v>
      </c>
      <c r="C35" s="192"/>
      <c r="D35" s="192"/>
      <c r="E35" s="192"/>
      <c r="F35" s="192"/>
      <c r="G35" s="192"/>
      <c r="H35" s="192"/>
      <c r="I35" s="43"/>
      <c r="J35" s="43"/>
    </row>
    <row r="36" spans="2:14" ht="44.25" customHeight="1" thickBot="1">
      <c r="B36" s="88" t="s">
        <v>136</v>
      </c>
      <c r="C36" s="135" t="s">
        <v>89</v>
      </c>
      <c r="D36" s="136"/>
      <c r="E36" s="147" t="s">
        <v>10</v>
      </c>
      <c r="F36" s="148"/>
      <c r="G36" s="147" t="s">
        <v>11</v>
      </c>
      <c r="H36" s="163"/>
      <c r="I36" s="44"/>
      <c r="J36" s="44"/>
      <c r="K36" s="45"/>
      <c r="L36" s="46"/>
      <c r="M36" s="106"/>
      <c r="N36" s="106"/>
    </row>
    <row r="37" spans="2:14">
      <c r="B37" s="89" t="s">
        <v>12</v>
      </c>
      <c r="C37" s="137">
        <f>E37+G37</f>
        <v>4005299.6132368604</v>
      </c>
      <c r="D37" s="138"/>
      <c r="E37" s="173">
        <f>F24+F25+F26+F27+F28+F29+F30+F32+E16</f>
        <v>2871187.6032368606</v>
      </c>
      <c r="F37" s="174"/>
      <c r="G37" s="173">
        <f>F31+G16</f>
        <v>1134112.01</v>
      </c>
      <c r="H37" s="175"/>
      <c r="I37" s="48"/>
      <c r="J37" s="48"/>
      <c r="K37" s="7"/>
      <c r="L37" s="7"/>
      <c r="M37" s="107"/>
    </row>
    <row r="38" spans="2:14">
      <c r="B38" s="47" t="s">
        <v>13</v>
      </c>
      <c r="C38" s="142">
        <f>E38+G38</f>
        <v>3478311.1799999997</v>
      </c>
      <c r="D38" s="143"/>
      <c r="E38" s="142">
        <f>E17+280991.97</f>
        <v>2496487.9299999997</v>
      </c>
      <c r="F38" s="143"/>
      <c r="G38" s="142">
        <f>G17+78391.59</f>
        <v>981823.24999999988</v>
      </c>
      <c r="H38" s="144"/>
      <c r="I38" s="48"/>
      <c r="J38" s="48"/>
      <c r="K38" s="9"/>
      <c r="L38" s="7"/>
      <c r="M38" s="107"/>
    </row>
    <row r="39" spans="2:14" ht="16.5" thickBot="1">
      <c r="B39" s="49" t="s">
        <v>63</v>
      </c>
      <c r="C39" s="145">
        <f>E39+G39</f>
        <v>3795316.0685767541</v>
      </c>
      <c r="D39" s="146"/>
      <c r="E39" s="170">
        <f>G24+G25+G26+G27+G28+G29+G30+G32+E18</f>
        <v>2862180.0685767541</v>
      </c>
      <c r="F39" s="171"/>
      <c r="G39" s="170">
        <f>G31+G18</f>
        <v>933136</v>
      </c>
      <c r="H39" s="172"/>
      <c r="I39" s="48"/>
      <c r="J39" s="48"/>
      <c r="K39" s="50"/>
      <c r="L39" s="50"/>
    </row>
    <row r="40" spans="2:14" ht="36.75" thickBot="1">
      <c r="B40" s="11" t="s">
        <v>116</v>
      </c>
      <c r="C40" s="161">
        <f>E40+G40</f>
        <v>-317004.88857675449</v>
      </c>
      <c r="D40" s="162"/>
      <c r="E40" s="139">
        <f>E38-E39</f>
        <v>-365692.13857675437</v>
      </c>
      <c r="F40" s="140"/>
      <c r="G40" s="139">
        <f>G38-G39</f>
        <v>48687.249999999884</v>
      </c>
      <c r="H40" s="141"/>
      <c r="I40" s="48"/>
      <c r="J40" s="48"/>
      <c r="K40" s="50"/>
      <c r="L40" s="50"/>
    </row>
    <row r="41" spans="2:14" ht="34.5" customHeight="1">
      <c r="B41" s="124" t="s">
        <v>64</v>
      </c>
      <c r="C41" s="167" t="s">
        <v>121</v>
      </c>
      <c r="D41" s="167"/>
      <c r="E41" s="167"/>
      <c r="F41" s="165" t="s">
        <v>126</v>
      </c>
      <c r="G41" s="165"/>
      <c r="H41" s="124"/>
      <c r="I41" s="124"/>
      <c r="J41" s="124"/>
      <c r="K41" s="2"/>
      <c r="L41" s="2"/>
      <c r="M41" s="105"/>
      <c r="N41" s="105"/>
    </row>
    <row r="42" spans="2:14" ht="11.25" customHeight="1">
      <c r="B42" s="124"/>
      <c r="C42" s="124"/>
      <c r="D42" s="124"/>
      <c r="E42" s="125"/>
      <c r="F42" s="166"/>
      <c r="G42" s="166"/>
      <c r="H42" s="126"/>
      <c r="I42" s="126"/>
      <c r="J42" s="126"/>
      <c r="K42" s="2"/>
      <c r="L42" s="2"/>
      <c r="M42" s="105"/>
      <c r="N42" s="105"/>
    </row>
    <row r="43" spans="2:14">
      <c r="B43" s="124" t="s">
        <v>65</v>
      </c>
      <c r="C43" s="167" t="s">
        <v>121</v>
      </c>
      <c r="D43" s="167"/>
      <c r="E43" s="167"/>
      <c r="F43" s="165" t="s">
        <v>76</v>
      </c>
      <c r="G43" s="165"/>
      <c r="H43" s="124"/>
      <c r="I43" s="124"/>
      <c r="J43" s="124"/>
      <c r="K43" s="2"/>
      <c r="L43" s="2"/>
      <c r="M43" s="105"/>
      <c r="N43" s="105"/>
    </row>
    <row r="44" spans="2:14" ht="9.75" customHeight="1">
      <c r="B44" s="124"/>
      <c r="C44" s="124"/>
      <c r="D44" s="124"/>
      <c r="E44" s="125"/>
      <c r="F44" s="165"/>
      <c r="G44" s="165"/>
      <c r="H44" s="124"/>
      <c r="I44" s="124"/>
      <c r="J44" s="124"/>
    </row>
    <row r="45" spans="2:14">
      <c r="B45" s="124" t="s">
        <v>66</v>
      </c>
      <c r="C45" s="167" t="s">
        <v>121</v>
      </c>
      <c r="D45" s="167"/>
      <c r="E45" s="167"/>
      <c r="F45" s="165" t="s">
        <v>127</v>
      </c>
      <c r="G45" s="165"/>
      <c r="H45" s="124"/>
      <c r="I45" s="124"/>
      <c r="J45" s="124"/>
    </row>
    <row r="46" spans="2:14" ht="8.25" customHeight="1">
      <c r="B46" s="51"/>
      <c r="C46" s="51"/>
      <c r="D46" s="51"/>
      <c r="E46" s="125"/>
      <c r="F46" s="52"/>
      <c r="G46" s="53"/>
      <c r="H46" s="54"/>
      <c r="I46" s="54"/>
      <c r="J46" s="54"/>
    </row>
    <row r="47" spans="2:14">
      <c r="B47" s="124" t="s">
        <v>67</v>
      </c>
      <c r="C47" s="167" t="s">
        <v>121</v>
      </c>
      <c r="D47" s="167"/>
      <c r="E47" s="167"/>
      <c r="F47" s="165" t="s">
        <v>127</v>
      </c>
      <c r="G47" s="165"/>
    </row>
    <row r="48" spans="2:14" ht="9" customHeight="1">
      <c r="B48" s="55"/>
      <c r="C48" s="55"/>
      <c r="D48" s="55"/>
      <c r="E48" s="125"/>
      <c r="F48" s="164"/>
      <c r="G48" s="164"/>
    </row>
    <row r="49" spans="3:5">
      <c r="C49" s="132"/>
      <c r="E49" s="129"/>
    </row>
  </sheetData>
  <mergeCells count="55">
    <mergeCell ref="C41:E41"/>
    <mergeCell ref="C43:E43"/>
    <mergeCell ref="C45:E45"/>
    <mergeCell ref="C47:E47"/>
    <mergeCell ref="N21:N22"/>
    <mergeCell ref="C36:D36"/>
    <mergeCell ref="C37:D37"/>
    <mergeCell ref="C38:D38"/>
    <mergeCell ref="B35:H35"/>
    <mergeCell ref="E36:F36"/>
    <mergeCell ref="G36:H36"/>
    <mergeCell ref="E37:F37"/>
    <mergeCell ref="G37:H37"/>
    <mergeCell ref="E38:F38"/>
    <mergeCell ref="G38:H38"/>
    <mergeCell ref="F47:G47"/>
    <mergeCell ref="C18:D18"/>
    <mergeCell ref="C19:D19"/>
    <mergeCell ref="C40:D40"/>
    <mergeCell ref="M21:M22"/>
    <mergeCell ref="E39:F39"/>
    <mergeCell ref="G39:H39"/>
    <mergeCell ref="C39:D39"/>
    <mergeCell ref="B1:H1"/>
    <mergeCell ref="B21:H21"/>
    <mergeCell ref="B22:B23"/>
    <mergeCell ref="C22:C23"/>
    <mergeCell ref="D22:D23"/>
    <mergeCell ref="E22:E23"/>
    <mergeCell ref="F22:G22"/>
    <mergeCell ref="H22:H23"/>
    <mergeCell ref="B2:H3"/>
    <mergeCell ref="D5:E5"/>
    <mergeCell ref="B14:H14"/>
    <mergeCell ref="E15:F15"/>
    <mergeCell ref="G15:H15"/>
    <mergeCell ref="C15:D15"/>
    <mergeCell ref="C16:D16"/>
    <mergeCell ref="C17:D17"/>
    <mergeCell ref="F48:G48"/>
    <mergeCell ref="F43:G43"/>
    <mergeCell ref="F44:G44"/>
    <mergeCell ref="F45:G45"/>
    <mergeCell ref="E16:F16"/>
    <mergeCell ref="G16:H16"/>
    <mergeCell ref="E17:F17"/>
    <mergeCell ref="G17:H17"/>
    <mergeCell ref="E18:F18"/>
    <mergeCell ref="G18:H18"/>
    <mergeCell ref="E19:F19"/>
    <mergeCell ref="G19:H19"/>
    <mergeCell ref="G40:H40"/>
    <mergeCell ref="F41:G41"/>
    <mergeCell ref="F42:G42"/>
    <mergeCell ref="E40:F40"/>
  </mergeCells>
  <printOptions horizontalCentered="1"/>
  <pageMargins left="0.19685039370078741" right="0.19685039370078741" top="0.19685039370078741" bottom="0.23622047244094491" header="0.31496062992125984" footer="0.31496062992125984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48"/>
  <sheetViews>
    <sheetView topLeftCell="B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" style="3" customWidth="1"/>
    <col min="3" max="3" width="23.28515625" style="56" customWidth="1"/>
    <col min="4" max="4" width="9.140625" style="133" customWidth="1"/>
    <col min="5" max="5" width="9.42578125" style="133" customWidth="1"/>
    <col min="6" max="6" width="9.85546875" style="3" customWidth="1"/>
    <col min="7" max="7" width="10.28515625" style="3" customWidth="1"/>
    <col min="8" max="8" width="10.5703125" style="3" customWidth="1"/>
    <col min="9" max="9" width="12.28515625" style="3" customWidth="1"/>
    <col min="10" max="12" width="9.140625" style="3"/>
    <col min="13" max="13" width="14" style="102" customWidth="1"/>
    <col min="14" max="14" width="14.7109375" style="102" customWidth="1"/>
    <col min="15" max="16384" width="9.140625" style="3"/>
  </cols>
  <sheetData>
    <row r="1" spans="1:9">
      <c r="B1" s="150" t="s">
        <v>91</v>
      </c>
      <c r="C1" s="150"/>
      <c r="D1" s="150"/>
      <c r="E1" s="150"/>
      <c r="F1" s="150"/>
      <c r="G1" s="150"/>
      <c r="H1" s="150"/>
    </row>
    <row r="2" spans="1:9" ht="19.5" customHeight="1">
      <c r="A2" s="12"/>
      <c r="B2" s="200" t="s">
        <v>137</v>
      </c>
      <c r="C2" s="200"/>
      <c r="D2" s="200"/>
      <c r="E2" s="200"/>
      <c r="F2" s="200"/>
      <c r="G2" s="200"/>
      <c r="H2" s="200"/>
    </row>
    <row r="3" spans="1:9" ht="20.25" customHeight="1">
      <c r="A3" s="12"/>
      <c r="B3" s="200"/>
      <c r="C3" s="200"/>
      <c r="D3" s="200"/>
      <c r="E3" s="200"/>
      <c r="F3" s="200"/>
      <c r="G3" s="200"/>
      <c r="H3" s="200"/>
    </row>
    <row r="4" spans="1:9" ht="16.5" customHeight="1"/>
    <row r="5" spans="1:9">
      <c r="B5" s="3" t="s">
        <v>0</v>
      </c>
      <c r="D5" s="159" t="s">
        <v>29</v>
      </c>
      <c r="E5" s="159"/>
    </row>
    <row r="6" spans="1:9">
      <c r="B6" s="3" t="s">
        <v>1</v>
      </c>
      <c r="D6" s="128">
        <v>1992</v>
      </c>
      <c r="E6" s="128"/>
    </row>
    <row r="7" spans="1:9" hidden="1" outlineLevel="1">
      <c r="B7" s="3" t="s">
        <v>2</v>
      </c>
      <c r="D7" s="128">
        <v>3</v>
      </c>
      <c r="E7" s="128"/>
    </row>
    <row r="8" spans="1:9" hidden="1" outlineLevel="1">
      <c r="B8" s="3" t="s">
        <v>3</v>
      </c>
      <c r="D8" s="128">
        <v>23</v>
      </c>
      <c r="E8" s="128"/>
    </row>
    <row r="9" spans="1:9" ht="30.75" hidden="1" customHeight="1" outlineLevel="1">
      <c r="B9" s="13" t="s">
        <v>4</v>
      </c>
      <c r="C9" s="57"/>
      <c r="D9" s="128" t="s">
        <v>30</v>
      </c>
      <c r="E9" s="128"/>
    </row>
    <row r="10" spans="1:9" collapsed="1">
      <c r="B10" s="3" t="s">
        <v>5</v>
      </c>
      <c r="D10" s="128" t="s">
        <v>103</v>
      </c>
      <c r="E10" s="128"/>
      <c r="I10" s="10"/>
    </row>
    <row r="11" spans="1:9" hidden="1" outlineLevel="1">
      <c r="B11" s="3" t="s">
        <v>6</v>
      </c>
      <c r="D11" s="128" t="s">
        <v>7</v>
      </c>
      <c r="E11" s="128"/>
    </row>
    <row r="12" spans="1:9" ht="30.75" hidden="1" customHeight="1" outlineLevel="1">
      <c r="B12" s="13" t="s">
        <v>8</v>
      </c>
      <c r="C12" s="57"/>
      <c r="D12" s="101" t="s">
        <v>31</v>
      </c>
      <c r="E12" s="128"/>
      <c r="I12" s="10"/>
    </row>
    <row r="13" spans="1:9" ht="12" customHeight="1" collapsed="1">
      <c r="B13" s="13"/>
      <c r="C13" s="57"/>
      <c r="D13" s="101"/>
      <c r="E13" s="128"/>
      <c r="I13" s="10"/>
    </row>
    <row r="14" spans="1:9" ht="16.5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1:9" ht="47.2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1:9">
      <c r="B16" s="89" t="s">
        <v>12</v>
      </c>
      <c r="C16" s="137">
        <v>3282535.5679457965</v>
      </c>
      <c r="D16" s="176"/>
      <c r="E16" s="173">
        <v>2263551.9279457964</v>
      </c>
      <c r="F16" s="174"/>
      <c r="G16" s="173">
        <v>1018983.64</v>
      </c>
      <c r="H16" s="175"/>
      <c r="I16" s="10"/>
    </row>
    <row r="17" spans="2:14">
      <c r="B17" s="47" t="s">
        <v>13</v>
      </c>
      <c r="C17" s="142">
        <v>3161108.8899999997</v>
      </c>
      <c r="D17" s="177"/>
      <c r="E17" s="142">
        <v>2189969.17</v>
      </c>
      <c r="F17" s="143"/>
      <c r="G17" s="142">
        <v>971139.72</v>
      </c>
      <c r="H17" s="144"/>
      <c r="I17" s="10"/>
    </row>
    <row r="18" spans="2:14" ht="16.5" thickBot="1">
      <c r="B18" s="49" t="s">
        <v>63</v>
      </c>
      <c r="C18" s="145">
        <v>3243980.8055402357</v>
      </c>
      <c r="D18" s="178"/>
      <c r="E18" s="170">
        <v>2266264.8055402357</v>
      </c>
      <c r="F18" s="171"/>
      <c r="G18" s="170">
        <v>977716</v>
      </c>
      <c r="H18" s="172"/>
      <c r="I18" s="10"/>
    </row>
    <row r="19" spans="2:14" ht="33" customHeight="1" thickBot="1">
      <c r="B19" s="11" t="s">
        <v>115</v>
      </c>
      <c r="C19" s="161">
        <f>E19+G19</f>
        <v>-82871.915540235816</v>
      </c>
      <c r="D19" s="162"/>
      <c r="E19" s="139">
        <f>E17-E18</f>
        <v>-76295.635540235788</v>
      </c>
      <c r="F19" s="140"/>
      <c r="G19" s="139">
        <f>G17-G18</f>
        <v>-6576.2800000000279</v>
      </c>
      <c r="H19" s="141"/>
      <c r="I19" s="10"/>
    </row>
    <row r="20" spans="2:14">
      <c r="B20" s="13"/>
      <c r="C20" s="57"/>
      <c r="D20" s="101"/>
      <c r="E20" s="128"/>
      <c r="I20" s="10"/>
    </row>
    <row r="21" spans="2:14" ht="31.5" customHeight="1" thickBot="1">
      <c r="B21" s="208" t="s">
        <v>133</v>
      </c>
      <c r="C21" s="208"/>
      <c r="D21" s="208"/>
      <c r="E21" s="208"/>
      <c r="F21" s="208"/>
      <c r="G21" s="208"/>
      <c r="H21" s="208"/>
      <c r="I21" s="15"/>
      <c r="J21" s="15"/>
      <c r="L21" s="10"/>
      <c r="M21" s="168" t="s">
        <v>117</v>
      </c>
      <c r="N21" s="168" t="s">
        <v>118</v>
      </c>
    </row>
    <row r="22" spans="2:14" ht="27.75" customHeight="1">
      <c r="B22" s="151" t="s">
        <v>77</v>
      </c>
      <c r="C22" s="153" t="s">
        <v>78</v>
      </c>
      <c r="D22" s="153" t="s">
        <v>79</v>
      </c>
      <c r="E22" s="195" t="s">
        <v>134</v>
      </c>
      <c r="F22" s="155" t="s">
        <v>80</v>
      </c>
      <c r="G22" s="156"/>
      <c r="H22" s="157" t="s">
        <v>98</v>
      </c>
      <c r="I22" s="16"/>
      <c r="J22" s="16"/>
      <c r="L22" s="10"/>
      <c r="M22" s="169"/>
      <c r="N22" s="169"/>
    </row>
    <row r="23" spans="2:14" ht="45" customHeight="1" thickBot="1">
      <c r="B23" s="152"/>
      <c r="C23" s="154"/>
      <c r="D23" s="154"/>
      <c r="E23" s="196"/>
      <c r="F23" s="17" t="s">
        <v>68</v>
      </c>
      <c r="G23" s="18" t="s">
        <v>69</v>
      </c>
      <c r="H23" s="158"/>
      <c r="I23" s="16"/>
      <c r="J23" s="16"/>
      <c r="M23" s="103">
        <v>333852.88</v>
      </c>
      <c r="N23" s="103">
        <f>M23</f>
        <v>333852.88</v>
      </c>
    </row>
    <row r="24" spans="2:14" ht="50.25" customHeight="1">
      <c r="B24" s="19" t="s">
        <v>81</v>
      </c>
      <c r="C24" s="5" t="s">
        <v>96</v>
      </c>
      <c r="D24" s="20" t="s">
        <v>83</v>
      </c>
      <c r="E24" s="21">
        <v>3.42</v>
      </c>
      <c r="F24" s="22">
        <f>$M$23/$M$24*E24</f>
        <v>61851.400303358634</v>
      </c>
      <c r="G24" s="23">
        <f>$N$23/$N$24*E24</f>
        <v>61851.400303358634</v>
      </c>
      <c r="H24" s="24">
        <f>F24-G24</f>
        <v>0</v>
      </c>
      <c r="I24" s="25"/>
      <c r="J24" s="25"/>
      <c r="K24" s="130"/>
      <c r="L24" s="26"/>
      <c r="M24" s="104">
        <f>E33-E31</f>
        <v>18.459999999999994</v>
      </c>
      <c r="N24" s="104">
        <f>E33-E31</f>
        <v>18.459999999999994</v>
      </c>
    </row>
    <row r="25" spans="2:14" ht="51">
      <c r="B25" s="27" t="s">
        <v>75</v>
      </c>
      <c r="C25" s="5" t="s">
        <v>96</v>
      </c>
      <c r="D25" s="20" t="s">
        <v>83</v>
      </c>
      <c r="E25" s="6">
        <v>3.8</v>
      </c>
      <c r="F25" s="22">
        <f>$M$23/$M$24*E25</f>
        <v>68723.778114842935</v>
      </c>
      <c r="G25" s="23">
        <f>$N$23/$N$24*E25</f>
        <v>68723.778114842935</v>
      </c>
      <c r="H25" s="24">
        <f t="shared" ref="H25:H30" si="0">F25-G25</f>
        <v>0</v>
      </c>
      <c r="I25" s="25"/>
      <c r="J25" s="25"/>
      <c r="K25" s="2"/>
      <c r="L25" s="2"/>
      <c r="M25" s="105"/>
      <c r="N25" s="105"/>
    </row>
    <row r="26" spans="2:14" ht="52.5" customHeight="1">
      <c r="B26" s="28" t="s">
        <v>70</v>
      </c>
      <c r="C26" s="5" t="s">
        <v>96</v>
      </c>
      <c r="D26" s="20" t="s">
        <v>83</v>
      </c>
      <c r="E26" s="6">
        <v>0.35</v>
      </c>
      <c r="F26" s="22">
        <f t="shared" ref="F26:F32" si="1">$M$23/$M$24*E26</f>
        <v>6329.8216684723748</v>
      </c>
      <c r="G26" s="23">
        <f t="shared" ref="G26:G29" si="2">$N$23/$N$24*E26</f>
        <v>6329.8216684723748</v>
      </c>
      <c r="H26" s="24">
        <f t="shared" si="0"/>
        <v>0</v>
      </c>
      <c r="I26" s="25"/>
      <c r="J26" s="25"/>
      <c r="L26" s="10"/>
    </row>
    <row r="27" spans="2:14" ht="25.5">
      <c r="B27" s="28" t="s">
        <v>84</v>
      </c>
      <c r="C27" s="29" t="s">
        <v>85</v>
      </c>
      <c r="D27" s="20" t="s">
        <v>83</v>
      </c>
      <c r="E27" s="6">
        <v>0</v>
      </c>
      <c r="F27" s="22">
        <f>($M$23/12*2)/$M$24*E27</f>
        <v>0</v>
      </c>
      <c r="G27" s="23">
        <f>($N$23/12*2)/$N$24*E27</f>
        <v>0</v>
      </c>
      <c r="H27" s="24">
        <f t="shared" si="0"/>
        <v>0</v>
      </c>
      <c r="I27" s="25"/>
      <c r="J27" s="25"/>
      <c r="L27" s="10"/>
    </row>
    <row r="28" spans="2:14" ht="51">
      <c r="B28" s="27" t="s">
        <v>71</v>
      </c>
      <c r="C28" s="5" t="s">
        <v>97</v>
      </c>
      <c r="D28" s="20" t="s">
        <v>83</v>
      </c>
      <c r="E28" s="6">
        <v>1.92</v>
      </c>
      <c r="F28" s="22">
        <f t="shared" si="1"/>
        <v>34723.59315276274</v>
      </c>
      <c r="G28" s="23">
        <f t="shared" si="2"/>
        <v>34723.59315276274</v>
      </c>
      <c r="H28" s="24">
        <f t="shared" si="0"/>
        <v>0</v>
      </c>
      <c r="I28" s="25"/>
      <c r="J28" s="25"/>
    </row>
    <row r="29" spans="2:14" ht="238.5" customHeight="1">
      <c r="B29" s="27" t="s">
        <v>95</v>
      </c>
      <c r="C29" s="30" t="s">
        <v>86</v>
      </c>
      <c r="D29" s="20" t="s">
        <v>83</v>
      </c>
      <c r="E29" s="6">
        <v>7.17</v>
      </c>
      <c r="F29" s="22">
        <f t="shared" si="1"/>
        <v>129670.91817984838</v>
      </c>
      <c r="G29" s="23">
        <f t="shared" si="2"/>
        <v>129670.91817984838</v>
      </c>
      <c r="H29" s="24">
        <f t="shared" si="0"/>
        <v>0</v>
      </c>
      <c r="I29" s="25"/>
      <c r="J29" s="25"/>
      <c r="K29" s="2"/>
      <c r="L29" s="1"/>
      <c r="M29" s="105"/>
      <c r="N29" s="105"/>
    </row>
    <row r="30" spans="2:14" ht="124.5" customHeight="1">
      <c r="B30" s="27" t="s">
        <v>87</v>
      </c>
      <c r="C30" s="5" t="s">
        <v>96</v>
      </c>
      <c r="D30" s="20" t="s">
        <v>83</v>
      </c>
      <c r="E30" s="6">
        <v>0.5</v>
      </c>
      <c r="F30" s="22">
        <f t="shared" si="1"/>
        <v>9042.6023835319647</v>
      </c>
      <c r="G30" s="23">
        <f t="shared" ref="G30" si="3">$N$23/$N$24*E30</f>
        <v>9042.6023835319647</v>
      </c>
      <c r="H30" s="24">
        <f t="shared" si="0"/>
        <v>0</v>
      </c>
      <c r="I30" s="25"/>
      <c r="J30" s="25"/>
    </row>
    <row r="31" spans="2:14" ht="49.5" customHeight="1">
      <c r="B31" s="28" t="s">
        <v>88</v>
      </c>
      <c r="C31" s="5" t="s">
        <v>96</v>
      </c>
      <c r="D31" s="20" t="s">
        <v>83</v>
      </c>
      <c r="E31" s="6">
        <v>5.15</v>
      </c>
      <c r="F31" s="22">
        <v>93138.8</v>
      </c>
      <c r="G31" s="4">
        <v>27029</v>
      </c>
      <c r="H31" s="24">
        <f>F31-G31</f>
        <v>66109.8</v>
      </c>
      <c r="I31" s="25"/>
      <c r="J31" s="25"/>
      <c r="L31" s="10"/>
    </row>
    <row r="32" spans="2:14" ht="16.5" thickBot="1">
      <c r="B32" s="31" t="s">
        <v>73</v>
      </c>
      <c r="C32" s="32" t="s">
        <v>86</v>
      </c>
      <c r="D32" s="33" t="s">
        <v>83</v>
      </c>
      <c r="E32" s="34">
        <v>1.3</v>
      </c>
      <c r="F32" s="22">
        <f t="shared" si="1"/>
        <v>23510.766197183108</v>
      </c>
      <c r="G32" s="23">
        <f t="shared" ref="G32" si="4">$N$23/$N$24*E32</f>
        <v>23510.766197183108</v>
      </c>
      <c r="H32" s="35">
        <f>F32-G32</f>
        <v>0</v>
      </c>
      <c r="I32" s="25"/>
      <c r="J32" s="25"/>
    </row>
    <row r="33" spans="2:14" ht="16.5" thickBot="1">
      <c r="B33" s="36" t="s">
        <v>74</v>
      </c>
      <c r="C33" s="37"/>
      <c r="D33" s="37"/>
      <c r="E33" s="38">
        <f>SUM(E24:E32)</f>
        <v>23.609999999999996</v>
      </c>
      <c r="F33" s="39">
        <f>SUM(F24:F32)</f>
        <v>426991.68000000017</v>
      </c>
      <c r="G33" s="40">
        <f>SUM(G24:G32)</f>
        <v>360881.88000000018</v>
      </c>
      <c r="H33" s="41">
        <f>SUM(H24:H32)</f>
        <v>66109.8</v>
      </c>
      <c r="I33" s="42"/>
      <c r="J33" s="42"/>
    </row>
    <row r="34" spans="2:14">
      <c r="B34" s="10"/>
      <c r="C34" s="10"/>
      <c r="D34" s="10"/>
      <c r="E34" s="132"/>
      <c r="F34" s="132"/>
      <c r="G34" s="132"/>
      <c r="H34" s="133"/>
      <c r="I34" s="133"/>
      <c r="J34" s="133"/>
    </row>
    <row r="35" spans="2:14" ht="16.5" customHeight="1" thickBot="1">
      <c r="B35" s="192" t="s">
        <v>135</v>
      </c>
      <c r="C35" s="192"/>
      <c r="D35" s="192"/>
      <c r="E35" s="192"/>
      <c r="F35" s="192"/>
      <c r="G35" s="192"/>
      <c r="H35" s="192"/>
      <c r="I35" s="43"/>
      <c r="J35" s="43"/>
    </row>
    <row r="36" spans="2:14" ht="44.25" customHeight="1" thickBot="1">
      <c r="B36" s="88" t="s">
        <v>136</v>
      </c>
      <c r="C36" s="135" t="s">
        <v>89</v>
      </c>
      <c r="D36" s="136"/>
      <c r="E36" s="147" t="s">
        <v>10</v>
      </c>
      <c r="F36" s="148"/>
      <c r="G36" s="147" t="s">
        <v>11</v>
      </c>
      <c r="H36" s="163"/>
      <c r="I36" s="44"/>
      <c r="J36" s="44"/>
      <c r="K36" s="45"/>
      <c r="L36" s="46"/>
      <c r="M36" s="106"/>
      <c r="N36" s="106"/>
    </row>
    <row r="37" spans="2:14">
      <c r="B37" s="89" t="s">
        <v>12</v>
      </c>
      <c r="C37" s="137">
        <f>E37+G37</f>
        <v>3709527.2479457967</v>
      </c>
      <c r="D37" s="138"/>
      <c r="E37" s="173">
        <f>F24+F25+F26+F27+F28+F29+F30+F32+E16</f>
        <v>2597404.8079457968</v>
      </c>
      <c r="F37" s="174"/>
      <c r="G37" s="173">
        <f>F31+G16</f>
        <v>1112122.44</v>
      </c>
      <c r="H37" s="175"/>
      <c r="I37" s="48"/>
      <c r="J37" s="48"/>
      <c r="K37" s="7"/>
      <c r="L37" s="7"/>
      <c r="M37" s="107"/>
    </row>
    <row r="38" spans="2:14">
      <c r="B38" s="47" t="s">
        <v>13</v>
      </c>
      <c r="C38" s="142">
        <f>E38+G38</f>
        <v>3605241.74</v>
      </c>
      <c r="D38" s="143"/>
      <c r="E38" s="142">
        <f>E17+347255.08</f>
        <v>2537224.25</v>
      </c>
      <c r="F38" s="143"/>
      <c r="G38" s="142">
        <f>G17+96877.77</f>
        <v>1068017.49</v>
      </c>
      <c r="H38" s="144"/>
      <c r="I38" s="48"/>
      <c r="J38" s="48"/>
      <c r="K38" s="9"/>
      <c r="L38" s="7"/>
      <c r="M38" s="107"/>
    </row>
    <row r="39" spans="2:14" ht="16.5" thickBot="1">
      <c r="B39" s="49" t="s">
        <v>63</v>
      </c>
      <c r="C39" s="145">
        <f>E39+G39</f>
        <v>3604862.6855402361</v>
      </c>
      <c r="D39" s="146"/>
      <c r="E39" s="170">
        <f>G24+G25+G26+G27+G28+G29+G30+G32+E18</f>
        <v>2600117.6855402361</v>
      </c>
      <c r="F39" s="171"/>
      <c r="G39" s="170">
        <f>G31+G18</f>
        <v>1004745</v>
      </c>
      <c r="H39" s="172"/>
      <c r="I39" s="48"/>
      <c r="J39" s="48"/>
      <c r="K39" s="50"/>
      <c r="L39" s="50"/>
    </row>
    <row r="40" spans="2:14" ht="36.75" thickBot="1">
      <c r="B40" s="11" t="s">
        <v>116</v>
      </c>
      <c r="C40" s="161">
        <f>E40+G40</f>
        <v>379.05445976392366</v>
      </c>
      <c r="D40" s="162"/>
      <c r="E40" s="139">
        <f>E38-E39</f>
        <v>-62893.435540236067</v>
      </c>
      <c r="F40" s="140"/>
      <c r="G40" s="139">
        <f>G38-G39</f>
        <v>63272.489999999991</v>
      </c>
      <c r="H40" s="141"/>
      <c r="I40" s="48"/>
      <c r="J40" s="48"/>
      <c r="K40" s="50"/>
      <c r="L40" s="50"/>
    </row>
    <row r="41" spans="2:14" ht="34.5" customHeight="1">
      <c r="B41" s="124" t="s">
        <v>64</v>
      </c>
      <c r="C41" s="167" t="s">
        <v>121</v>
      </c>
      <c r="D41" s="167"/>
      <c r="E41" s="167"/>
      <c r="F41" s="165" t="s">
        <v>126</v>
      </c>
      <c r="G41" s="165"/>
      <c r="H41" s="124"/>
      <c r="I41" s="124"/>
      <c r="J41" s="124"/>
      <c r="K41" s="2"/>
      <c r="L41" s="2"/>
      <c r="M41" s="105"/>
      <c r="N41" s="105"/>
    </row>
    <row r="42" spans="2:14" ht="11.25" customHeight="1">
      <c r="B42" s="124"/>
      <c r="C42" s="124"/>
      <c r="D42" s="124"/>
      <c r="E42" s="125"/>
      <c r="F42" s="166"/>
      <c r="G42" s="166"/>
      <c r="H42" s="126"/>
      <c r="I42" s="126"/>
      <c r="J42" s="126"/>
      <c r="K42" s="2"/>
      <c r="L42" s="2"/>
      <c r="M42" s="105"/>
      <c r="N42" s="105"/>
    </row>
    <row r="43" spans="2:14">
      <c r="B43" s="124" t="s">
        <v>65</v>
      </c>
      <c r="C43" s="167" t="s">
        <v>121</v>
      </c>
      <c r="D43" s="167"/>
      <c r="E43" s="167"/>
      <c r="F43" s="165" t="s">
        <v>76</v>
      </c>
      <c r="G43" s="165"/>
      <c r="H43" s="124"/>
      <c r="I43" s="124"/>
      <c r="J43" s="124"/>
      <c r="K43" s="2"/>
      <c r="L43" s="2"/>
      <c r="M43" s="105"/>
      <c r="N43" s="105"/>
    </row>
    <row r="44" spans="2:14" ht="9.75" customHeight="1">
      <c r="B44" s="124"/>
      <c r="C44" s="124"/>
      <c r="D44" s="124"/>
      <c r="E44" s="125"/>
      <c r="F44" s="165"/>
      <c r="G44" s="165"/>
      <c r="H44" s="124"/>
      <c r="I44" s="124"/>
      <c r="J44" s="124"/>
    </row>
    <row r="45" spans="2:14">
      <c r="B45" s="124" t="s">
        <v>66</v>
      </c>
      <c r="C45" s="167" t="s">
        <v>121</v>
      </c>
      <c r="D45" s="167"/>
      <c r="E45" s="167"/>
      <c r="F45" s="165" t="s">
        <v>127</v>
      </c>
      <c r="G45" s="165"/>
      <c r="H45" s="124"/>
      <c r="I45" s="124"/>
      <c r="J45" s="124"/>
    </row>
    <row r="46" spans="2:14" ht="8.25" customHeight="1">
      <c r="B46" s="51"/>
      <c r="C46" s="51"/>
      <c r="D46" s="51"/>
      <c r="E46" s="125"/>
      <c r="F46" s="52"/>
      <c r="G46" s="53"/>
      <c r="H46" s="54"/>
      <c r="I46" s="54"/>
      <c r="J46" s="54"/>
    </row>
    <row r="47" spans="2:14">
      <c r="B47" s="124" t="s">
        <v>67</v>
      </c>
      <c r="C47" s="167" t="s">
        <v>121</v>
      </c>
      <c r="D47" s="167"/>
      <c r="E47" s="167"/>
      <c r="F47" s="165" t="s">
        <v>127</v>
      </c>
      <c r="G47" s="165"/>
    </row>
    <row r="48" spans="2:14" ht="9" customHeight="1">
      <c r="B48" s="55"/>
      <c r="C48" s="55"/>
      <c r="D48" s="55"/>
      <c r="E48" s="125"/>
      <c r="F48" s="164"/>
      <c r="G48" s="164"/>
    </row>
  </sheetData>
  <mergeCells count="55">
    <mergeCell ref="M21:M22"/>
    <mergeCell ref="N21:N22"/>
    <mergeCell ref="C36:D36"/>
    <mergeCell ref="C37:D37"/>
    <mergeCell ref="C38:D38"/>
    <mergeCell ref="E38:F38"/>
    <mergeCell ref="G38:H38"/>
    <mergeCell ref="B35:H35"/>
    <mergeCell ref="E36:F36"/>
    <mergeCell ref="G36:H36"/>
    <mergeCell ref="E37:F37"/>
    <mergeCell ref="G37:H37"/>
    <mergeCell ref="C15:D15"/>
    <mergeCell ref="C16:D16"/>
    <mergeCell ref="C17:D17"/>
    <mergeCell ref="C18:D18"/>
    <mergeCell ref="C19:D19"/>
    <mergeCell ref="F48:G48"/>
    <mergeCell ref="F44:G44"/>
    <mergeCell ref="F45:G45"/>
    <mergeCell ref="F47:G47"/>
    <mergeCell ref="F41:G41"/>
    <mergeCell ref="F42:G42"/>
    <mergeCell ref="F43:G43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6:F16"/>
    <mergeCell ref="G16:H16"/>
    <mergeCell ref="E17:F17"/>
    <mergeCell ref="C41:E41"/>
    <mergeCell ref="C43:E43"/>
    <mergeCell ref="C45:E45"/>
    <mergeCell ref="C47:E47"/>
    <mergeCell ref="G17:H17"/>
    <mergeCell ref="E18:F18"/>
    <mergeCell ref="G18:H18"/>
    <mergeCell ref="E19:F19"/>
    <mergeCell ref="G19:H19"/>
    <mergeCell ref="G39:H39"/>
    <mergeCell ref="G40:H40"/>
    <mergeCell ref="E39:F39"/>
    <mergeCell ref="E40:F40"/>
    <mergeCell ref="C39:D39"/>
    <mergeCell ref="C40:D40"/>
  </mergeCells>
  <printOptions horizontalCentered="1"/>
  <pageMargins left="0.19685039370078741" right="0.19685039370078741" top="0.19685039370078741" bottom="0.23622047244094491" header="0.31496062992125984" footer="0.31496062992125984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50"/>
  <sheetViews>
    <sheetView topLeftCell="B1" zoomScale="110" zoomScaleNormal="110" workbookViewId="0">
      <selection activeCell="B1" sqref="B1:H1"/>
    </sheetView>
  </sheetViews>
  <sheetFormatPr defaultColWidth="9.140625" defaultRowHeight="15.75" outlineLevelRow="1"/>
  <cols>
    <col min="1" max="1" width="2.85546875" style="3" customWidth="1"/>
    <col min="2" max="2" width="56.28515625" style="3" customWidth="1"/>
    <col min="3" max="3" width="24.42578125" style="56" customWidth="1"/>
    <col min="4" max="4" width="8.42578125" style="133" customWidth="1"/>
    <col min="5" max="5" width="10.28515625" style="133" customWidth="1"/>
    <col min="6" max="6" width="10.140625" style="3" customWidth="1"/>
    <col min="7" max="8" width="10.42578125" style="3" customWidth="1"/>
    <col min="9" max="9" width="12.28515625" style="3" customWidth="1"/>
    <col min="10" max="12" width="9.140625" style="3"/>
    <col min="13" max="13" width="13.85546875" style="102" customWidth="1"/>
    <col min="14" max="14" width="16.28515625" style="102" customWidth="1"/>
    <col min="15" max="16384" width="9.140625" style="3"/>
  </cols>
  <sheetData>
    <row r="1" spans="1:9">
      <c r="B1" s="150" t="s">
        <v>91</v>
      </c>
      <c r="C1" s="150"/>
      <c r="D1" s="150"/>
      <c r="E1" s="150"/>
      <c r="F1" s="150"/>
      <c r="G1" s="150"/>
      <c r="H1" s="150"/>
    </row>
    <row r="2" spans="1:9" ht="19.5" customHeight="1">
      <c r="A2" s="12"/>
      <c r="B2" s="200" t="s">
        <v>137</v>
      </c>
      <c r="C2" s="200"/>
      <c r="D2" s="200"/>
      <c r="E2" s="200"/>
      <c r="F2" s="200"/>
      <c r="G2" s="200"/>
      <c r="H2" s="200"/>
    </row>
    <row r="3" spans="1:9" ht="20.25" customHeight="1">
      <c r="A3" s="12"/>
      <c r="B3" s="200"/>
      <c r="C3" s="200"/>
      <c r="D3" s="200"/>
      <c r="E3" s="200"/>
      <c r="F3" s="200"/>
      <c r="G3" s="200"/>
      <c r="H3" s="200"/>
    </row>
    <row r="4" spans="1:9" ht="15" customHeight="1"/>
    <row r="5" spans="1:9">
      <c r="B5" s="3" t="s">
        <v>0</v>
      </c>
      <c r="D5" s="159" t="s">
        <v>32</v>
      </c>
      <c r="E5" s="159"/>
    </row>
    <row r="6" spans="1:9">
      <c r="B6" s="3" t="s">
        <v>1</v>
      </c>
      <c r="D6" s="128">
        <v>1960</v>
      </c>
      <c r="E6" s="128"/>
    </row>
    <row r="7" spans="1:9" hidden="1" outlineLevel="1">
      <c r="B7" s="3" t="s">
        <v>2</v>
      </c>
      <c r="D7" s="128">
        <v>2</v>
      </c>
      <c r="E7" s="128"/>
    </row>
    <row r="8" spans="1:9" hidden="1" outlineLevel="1">
      <c r="B8" s="3" t="s">
        <v>3</v>
      </c>
      <c r="D8" s="128">
        <v>16</v>
      </c>
      <c r="E8" s="128"/>
    </row>
    <row r="9" spans="1:9" ht="30.75" hidden="1" customHeight="1" outlineLevel="1">
      <c r="B9" s="13" t="s">
        <v>4</v>
      </c>
      <c r="C9" s="57"/>
      <c r="D9" s="128" t="s">
        <v>33</v>
      </c>
      <c r="E9" s="128"/>
    </row>
    <row r="10" spans="1:9" collapsed="1">
      <c r="B10" s="3" t="s">
        <v>5</v>
      </c>
      <c r="D10" s="128" t="s">
        <v>104</v>
      </c>
      <c r="E10" s="128"/>
      <c r="I10" s="10"/>
    </row>
    <row r="11" spans="1:9" hidden="1" outlineLevel="1">
      <c r="B11" s="3" t="s">
        <v>6</v>
      </c>
      <c r="D11" s="128" t="s">
        <v>7</v>
      </c>
      <c r="E11" s="128"/>
    </row>
    <row r="12" spans="1:9" ht="30.75" hidden="1" customHeight="1" outlineLevel="1">
      <c r="B12" s="13" t="s">
        <v>8</v>
      </c>
      <c r="C12" s="57"/>
      <c r="D12" s="101" t="s">
        <v>34</v>
      </c>
      <c r="E12" s="128"/>
      <c r="I12" s="10"/>
    </row>
    <row r="13" spans="1:9" collapsed="1">
      <c r="B13" s="13"/>
      <c r="C13" s="57"/>
      <c r="D13" s="101"/>
      <c r="E13" s="128"/>
      <c r="I13" s="10"/>
    </row>
    <row r="14" spans="1:9" ht="16.5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1:9" ht="43.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1:9">
      <c r="B16" s="89" t="s">
        <v>12</v>
      </c>
      <c r="C16" s="137">
        <v>981719.27079951682</v>
      </c>
      <c r="D16" s="176"/>
      <c r="E16" s="173">
        <v>808357.73079951678</v>
      </c>
      <c r="F16" s="174"/>
      <c r="G16" s="173">
        <v>173361.54</v>
      </c>
      <c r="H16" s="175"/>
      <c r="I16" s="10"/>
    </row>
    <row r="17" spans="2:14">
      <c r="B17" s="47" t="s">
        <v>13</v>
      </c>
      <c r="C17" s="142">
        <v>822462.65999999992</v>
      </c>
      <c r="D17" s="177"/>
      <c r="E17" s="142">
        <v>676831.95</v>
      </c>
      <c r="F17" s="143"/>
      <c r="G17" s="142">
        <v>145630.71</v>
      </c>
      <c r="H17" s="144"/>
      <c r="I17" s="10"/>
    </row>
    <row r="18" spans="2:14">
      <c r="B18" s="49" t="s">
        <v>63</v>
      </c>
      <c r="C18" s="142">
        <v>984181.46098886139</v>
      </c>
      <c r="D18" s="177"/>
      <c r="E18" s="170">
        <v>812938.46098886139</v>
      </c>
      <c r="F18" s="171"/>
      <c r="G18" s="170">
        <v>171243</v>
      </c>
      <c r="H18" s="172"/>
      <c r="I18" s="10"/>
    </row>
    <row r="19" spans="2:14" ht="16.5" thickBot="1">
      <c r="B19" s="59" t="s">
        <v>114</v>
      </c>
      <c r="C19" s="145">
        <v>32400</v>
      </c>
      <c r="D19" s="178"/>
      <c r="E19" s="145">
        <v>32400</v>
      </c>
      <c r="F19" s="146"/>
      <c r="G19" s="145">
        <v>0</v>
      </c>
      <c r="H19" s="160"/>
      <c r="I19" s="10"/>
    </row>
    <row r="20" spans="2:14" ht="29.25" customHeight="1" thickBot="1">
      <c r="B20" s="11" t="s">
        <v>115</v>
      </c>
      <c r="C20" s="161">
        <f>E20+G20</f>
        <v>-129318.80098886145</v>
      </c>
      <c r="D20" s="162"/>
      <c r="E20" s="139">
        <f>E17+E19-E18</f>
        <v>-103706.51098886144</v>
      </c>
      <c r="F20" s="140"/>
      <c r="G20" s="139">
        <f>G17-G18</f>
        <v>-25612.290000000008</v>
      </c>
      <c r="H20" s="141"/>
      <c r="I20" s="10"/>
    </row>
    <row r="21" spans="2:14">
      <c r="B21" s="13"/>
      <c r="C21" s="57"/>
      <c r="D21" s="101"/>
      <c r="E21" s="128"/>
      <c r="I21" s="10"/>
    </row>
    <row r="22" spans="2:14" ht="25.5" customHeight="1" thickBot="1">
      <c r="B22" s="208" t="s">
        <v>133</v>
      </c>
      <c r="C22" s="208"/>
      <c r="D22" s="208"/>
      <c r="E22" s="208"/>
      <c r="F22" s="208"/>
      <c r="G22" s="208"/>
      <c r="H22" s="208"/>
      <c r="I22" s="15"/>
      <c r="J22" s="15"/>
      <c r="L22" s="10"/>
      <c r="M22" s="168" t="s">
        <v>117</v>
      </c>
      <c r="N22" s="168" t="s">
        <v>118</v>
      </c>
    </row>
    <row r="23" spans="2:14" ht="27.75" customHeight="1">
      <c r="B23" s="151" t="s">
        <v>77</v>
      </c>
      <c r="C23" s="153" t="s">
        <v>78</v>
      </c>
      <c r="D23" s="153" t="s">
        <v>79</v>
      </c>
      <c r="E23" s="195" t="s">
        <v>134</v>
      </c>
      <c r="F23" s="155" t="s">
        <v>80</v>
      </c>
      <c r="G23" s="156"/>
      <c r="H23" s="157" t="s">
        <v>98</v>
      </c>
      <c r="I23" s="16"/>
      <c r="J23" s="16"/>
      <c r="L23" s="10"/>
      <c r="M23" s="169"/>
      <c r="N23" s="169"/>
    </row>
    <row r="24" spans="2:14" ht="45" customHeight="1" thickBot="1">
      <c r="B24" s="152"/>
      <c r="C24" s="154"/>
      <c r="D24" s="154"/>
      <c r="E24" s="196"/>
      <c r="F24" s="17" t="s">
        <v>68</v>
      </c>
      <c r="G24" s="18" t="s">
        <v>69</v>
      </c>
      <c r="H24" s="158"/>
      <c r="I24" s="16"/>
      <c r="J24" s="16"/>
      <c r="M24" s="103">
        <v>107951.14</v>
      </c>
      <c r="N24" s="103">
        <f>M24</f>
        <v>107951.14</v>
      </c>
    </row>
    <row r="25" spans="2:14" ht="50.25" customHeight="1">
      <c r="B25" s="19" t="s">
        <v>81</v>
      </c>
      <c r="C25" s="5" t="s">
        <v>96</v>
      </c>
      <c r="D25" s="20" t="s">
        <v>83</v>
      </c>
      <c r="E25" s="21">
        <v>3.42</v>
      </c>
      <c r="F25" s="22">
        <f>$M$24/$M$25*E25</f>
        <v>21254.628601036267</v>
      </c>
      <c r="G25" s="23">
        <f>$N$24/$N$25*E25</f>
        <v>21254.628601036267</v>
      </c>
      <c r="H25" s="24">
        <f>F25-G25</f>
        <v>0</v>
      </c>
      <c r="I25" s="25"/>
      <c r="J25" s="25"/>
      <c r="K25" s="130"/>
      <c r="L25" s="26"/>
      <c r="M25" s="104">
        <f>E34-E32</f>
        <v>17.37</v>
      </c>
      <c r="N25" s="104">
        <f>E34-E32</f>
        <v>17.37</v>
      </c>
    </row>
    <row r="26" spans="2:14" ht="51">
      <c r="B26" s="27" t="s">
        <v>75</v>
      </c>
      <c r="C26" s="5" t="s">
        <v>96</v>
      </c>
      <c r="D26" s="20" t="s">
        <v>83</v>
      </c>
      <c r="E26" s="6">
        <v>3.8</v>
      </c>
      <c r="F26" s="22">
        <f>$M$24/$M$25*E26</f>
        <v>23616.254001151407</v>
      </c>
      <c r="G26" s="23">
        <f>$N$24/$N$25*E26</f>
        <v>23616.254001151407</v>
      </c>
      <c r="H26" s="24">
        <f t="shared" ref="H26:H31" si="0">F26-G26</f>
        <v>0</v>
      </c>
      <c r="I26" s="25"/>
      <c r="J26" s="25"/>
      <c r="K26" s="2"/>
      <c r="L26" s="2"/>
      <c r="M26" s="105"/>
      <c r="N26" s="105"/>
    </row>
    <row r="27" spans="2:14" ht="52.5" customHeight="1">
      <c r="B27" s="28" t="s">
        <v>70</v>
      </c>
      <c r="C27" s="5" t="s">
        <v>96</v>
      </c>
      <c r="D27" s="20" t="s">
        <v>83</v>
      </c>
      <c r="E27" s="6">
        <v>0.35</v>
      </c>
      <c r="F27" s="22">
        <f t="shared" ref="F27:F33" si="1">$M$24/$M$25*E27</f>
        <v>2175.1812895797348</v>
      </c>
      <c r="G27" s="23">
        <f t="shared" ref="G27:G30" si="2">$N$24/$N$25*E27</f>
        <v>2175.1812895797348</v>
      </c>
      <c r="H27" s="24">
        <f t="shared" si="0"/>
        <v>0</v>
      </c>
      <c r="I27" s="25"/>
      <c r="J27" s="25"/>
      <c r="L27" s="10"/>
    </row>
    <row r="28" spans="2:14" ht="25.5">
      <c r="B28" s="28" t="s">
        <v>84</v>
      </c>
      <c r="C28" s="29" t="s">
        <v>85</v>
      </c>
      <c r="D28" s="20" t="s">
        <v>83</v>
      </c>
      <c r="E28" s="6">
        <v>0.55000000000000004</v>
      </c>
      <c r="F28" s="22">
        <f>($M$24/12*2)/$M$25*E28</f>
        <v>569.69033774707361</v>
      </c>
      <c r="G28" s="23">
        <f>($N$24/12*2)/$N$25*E28</f>
        <v>569.69033774707361</v>
      </c>
      <c r="H28" s="24">
        <f t="shared" si="0"/>
        <v>0</v>
      </c>
      <c r="I28" s="25"/>
      <c r="J28" s="25"/>
      <c r="L28" s="10"/>
    </row>
    <row r="29" spans="2:14" ht="51">
      <c r="B29" s="27" t="s">
        <v>71</v>
      </c>
      <c r="C29" s="5" t="s">
        <v>97</v>
      </c>
      <c r="D29" s="20" t="s">
        <v>83</v>
      </c>
      <c r="E29" s="6">
        <v>1.8</v>
      </c>
      <c r="F29" s="22">
        <f t="shared" si="1"/>
        <v>11186.646632124352</v>
      </c>
      <c r="G29" s="23">
        <f t="shared" si="2"/>
        <v>11186.646632124352</v>
      </c>
      <c r="H29" s="24">
        <f t="shared" si="0"/>
        <v>0</v>
      </c>
      <c r="I29" s="25"/>
      <c r="J29" s="25"/>
    </row>
    <row r="30" spans="2:14" ht="241.5" customHeight="1">
      <c r="B30" s="27" t="s">
        <v>95</v>
      </c>
      <c r="C30" s="30" t="s">
        <v>86</v>
      </c>
      <c r="D30" s="20" t="s">
        <v>83</v>
      </c>
      <c r="E30" s="6">
        <v>6.9</v>
      </c>
      <c r="F30" s="22">
        <f t="shared" si="1"/>
        <v>42882.145423143345</v>
      </c>
      <c r="G30" s="23">
        <f t="shared" si="2"/>
        <v>42882.145423143345</v>
      </c>
      <c r="H30" s="24">
        <f t="shared" si="0"/>
        <v>0</v>
      </c>
      <c r="I30" s="25"/>
      <c r="J30" s="25"/>
      <c r="K30" s="2"/>
      <c r="L30" s="1"/>
      <c r="M30" s="105"/>
      <c r="N30" s="105"/>
    </row>
    <row r="31" spans="2:14" ht="123" customHeight="1">
      <c r="B31" s="27" t="s">
        <v>87</v>
      </c>
      <c r="C31" s="5" t="s">
        <v>96</v>
      </c>
      <c r="D31" s="20" t="s">
        <v>83</v>
      </c>
      <c r="E31" s="6">
        <v>0.3</v>
      </c>
      <c r="F31" s="22">
        <f t="shared" si="1"/>
        <v>1864.4411053540584</v>
      </c>
      <c r="G31" s="23">
        <f t="shared" ref="G31" si="3">$N$24/$N$25*E31</f>
        <v>1864.4411053540584</v>
      </c>
      <c r="H31" s="24">
        <f t="shared" si="0"/>
        <v>0</v>
      </c>
      <c r="I31" s="25"/>
      <c r="J31" s="25"/>
    </row>
    <row r="32" spans="2:14" ht="48.75" customHeight="1">
      <c r="B32" s="28" t="s">
        <v>88</v>
      </c>
      <c r="C32" s="5" t="s">
        <v>96</v>
      </c>
      <c r="D32" s="20" t="s">
        <v>83</v>
      </c>
      <c r="E32" s="6">
        <v>4</v>
      </c>
      <c r="F32" s="22">
        <v>24859.22</v>
      </c>
      <c r="G32" s="4">
        <v>14911</v>
      </c>
      <c r="H32" s="24">
        <f>F32-G32</f>
        <v>9948.2200000000012</v>
      </c>
      <c r="I32" s="25"/>
      <c r="J32" s="25"/>
      <c r="L32" s="10"/>
    </row>
    <row r="33" spans="2:14" ht="16.5" thickBot="1">
      <c r="B33" s="31" t="s">
        <v>73</v>
      </c>
      <c r="C33" s="32" t="s">
        <v>86</v>
      </c>
      <c r="D33" s="33" t="s">
        <v>83</v>
      </c>
      <c r="E33" s="34">
        <v>0.25</v>
      </c>
      <c r="F33" s="22">
        <f t="shared" si="1"/>
        <v>1553.7009211283821</v>
      </c>
      <c r="G33" s="23">
        <f t="shared" ref="G33" si="4">$N$24/$N$25*E33</f>
        <v>1553.7009211283821</v>
      </c>
      <c r="H33" s="35">
        <f>F33-G33</f>
        <v>0</v>
      </c>
      <c r="I33" s="25"/>
      <c r="J33" s="25"/>
    </row>
    <row r="34" spans="2:14" ht="16.5" thickBot="1">
      <c r="B34" s="36" t="s">
        <v>74</v>
      </c>
      <c r="C34" s="37"/>
      <c r="D34" s="37"/>
      <c r="E34" s="38">
        <f>SUM(E25:E33)</f>
        <v>21.37</v>
      </c>
      <c r="F34" s="39">
        <f>SUM(F25:F33)</f>
        <v>129961.90831126462</v>
      </c>
      <c r="G34" s="40">
        <f>SUM(G25:G33)</f>
        <v>120013.68831126462</v>
      </c>
      <c r="H34" s="41">
        <f>SUM(H25:H33)</f>
        <v>9948.2200000000012</v>
      </c>
      <c r="I34" s="42"/>
      <c r="J34" s="42"/>
    </row>
    <row r="35" spans="2:14">
      <c r="B35" s="10"/>
      <c r="C35" s="10"/>
      <c r="D35" s="10"/>
      <c r="E35" s="132"/>
      <c r="F35" s="132"/>
      <c r="G35" s="132"/>
      <c r="H35" s="133"/>
      <c r="I35" s="133"/>
      <c r="J35" s="133"/>
    </row>
    <row r="36" spans="2:14" ht="16.5" customHeight="1" thickBot="1">
      <c r="B36" s="192" t="s">
        <v>135</v>
      </c>
      <c r="C36" s="192"/>
      <c r="D36" s="192"/>
      <c r="E36" s="192"/>
      <c r="F36" s="192"/>
      <c r="G36" s="192"/>
      <c r="H36" s="192"/>
      <c r="I36" s="43"/>
      <c r="J36" s="43"/>
    </row>
    <row r="37" spans="2:14" ht="44.25" customHeight="1" thickBot="1">
      <c r="B37" s="88" t="s">
        <v>136</v>
      </c>
      <c r="C37" s="135" t="s">
        <v>89</v>
      </c>
      <c r="D37" s="136"/>
      <c r="E37" s="147" t="s">
        <v>10</v>
      </c>
      <c r="F37" s="148"/>
      <c r="G37" s="147" t="s">
        <v>11</v>
      </c>
      <c r="H37" s="163"/>
      <c r="I37" s="44"/>
      <c r="J37" s="44"/>
      <c r="K37" s="45"/>
      <c r="L37" s="46"/>
      <c r="M37" s="106"/>
      <c r="N37" s="106"/>
    </row>
    <row r="38" spans="2:14">
      <c r="B38" s="89" t="s">
        <v>12</v>
      </c>
      <c r="C38" s="137">
        <f>E38+G38</f>
        <v>1111681.1791107813</v>
      </c>
      <c r="D38" s="138"/>
      <c r="E38" s="173">
        <f>F25+F26+F27+F28+F29+F30+F31+F33+E16</f>
        <v>913460.4191107814</v>
      </c>
      <c r="F38" s="174"/>
      <c r="G38" s="173">
        <f>F32+G16</f>
        <v>198220.76</v>
      </c>
      <c r="H38" s="175"/>
      <c r="I38" s="48"/>
      <c r="J38" s="48"/>
      <c r="K38" s="7"/>
      <c r="L38" s="7"/>
      <c r="M38" s="107"/>
    </row>
    <row r="39" spans="2:14">
      <c r="B39" s="47" t="s">
        <v>13</v>
      </c>
      <c r="C39" s="142">
        <f>E39+G39</f>
        <v>914054.59</v>
      </c>
      <c r="D39" s="143"/>
      <c r="E39" s="142">
        <f>E17+74447.91</f>
        <v>751279.86</v>
      </c>
      <c r="F39" s="143"/>
      <c r="G39" s="142">
        <f>G17+17144.02</f>
        <v>162774.72999999998</v>
      </c>
      <c r="H39" s="144"/>
      <c r="I39" s="48"/>
      <c r="J39" s="48"/>
      <c r="K39" s="9"/>
      <c r="L39" s="7"/>
      <c r="M39" s="107"/>
    </row>
    <row r="40" spans="2:14">
      <c r="B40" s="49" t="s">
        <v>63</v>
      </c>
      <c r="C40" s="142">
        <f>E40+G40</f>
        <v>1104195.1493001259</v>
      </c>
      <c r="D40" s="143"/>
      <c r="E40" s="170">
        <f>G25+G26+G27+G28+G29+G30+G31+G33+E18</f>
        <v>918041.14930012601</v>
      </c>
      <c r="F40" s="171"/>
      <c r="G40" s="170">
        <f>G32+G18</f>
        <v>186154</v>
      </c>
      <c r="H40" s="172"/>
      <c r="I40" s="48"/>
      <c r="J40" s="48"/>
      <c r="K40" s="50"/>
      <c r="L40" s="50"/>
    </row>
    <row r="41" spans="2:14" ht="16.5" thickBot="1">
      <c r="B41" s="59" t="s">
        <v>114</v>
      </c>
      <c r="C41" s="145">
        <f>E41+G41</f>
        <v>36000</v>
      </c>
      <c r="D41" s="146"/>
      <c r="E41" s="145">
        <f>E19+3600</f>
        <v>36000</v>
      </c>
      <c r="F41" s="146"/>
      <c r="G41" s="145">
        <f>G19</f>
        <v>0</v>
      </c>
      <c r="H41" s="160"/>
      <c r="I41" s="48"/>
      <c r="J41" s="48"/>
      <c r="K41" s="50"/>
      <c r="L41" s="50"/>
    </row>
    <row r="42" spans="2:14" ht="33" customHeight="1" thickBot="1">
      <c r="B42" s="11" t="s">
        <v>116</v>
      </c>
      <c r="C42" s="161">
        <f>E42+G42</f>
        <v>-154140.55930012604</v>
      </c>
      <c r="D42" s="162"/>
      <c r="E42" s="139">
        <f>E39+E41-E40</f>
        <v>-130761.28930012602</v>
      </c>
      <c r="F42" s="140"/>
      <c r="G42" s="139">
        <f>G39-G40</f>
        <v>-23379.270000000019</v>
      </c>
      <c r="H42" s="141"/>
      <c r="I42" s="48"/>
      <c r="J42" s="48"/>
      <c r="K42" s="50"/>
      <c r="L42" s="50"/>
    </row>
    <row r="43" spans="2:14" ht="34.5" customHeight="1">
      <c r="B43" s="124" t="s">
        <v>64</v>
      </c>
      <c r="C43" s="167" t="s">
        <v>121</v>
      </c>
      <c r="D43" s="167"/>
      <c r="E43" s="167"/>
      <c r="F43" s="165" t="s">
        <v>126</v>
      </c>
      <c r="G43" s="165"/>
      <c r="H43" s="124"/>
      <c r="I43" s="124"/>
      <c r="J43" s="124"/>
      <c r="K43" s="2"/>
      <c r="L43" s="2"/>
      <c r="M43" s="105"/>
      <c r="N43" s="105"/>
    </row>
    <row r="44" spans="2:14" ht="11.25" customHeight="1">
      <c r="B44" s="124"/>
      <c r="C44" s="124"/>
      <c r="D44" s="124"/>
      <c r="E44" s="125"/>
      <c r="F44" s="166"/>
      <c r="G44" s="166"/>
      <c r="H44" s="126"/>
      <c r="I44" s="126"/>
      <c r="J44" s="126"/>
      <c r="K44" s="2"/>
      <c r="L44" s="2"/>
      <c r="M44" s="105"/>
      <c r="N44" s="105"/>
    </row>
    <row r="45" spans="2:14">
      <c r="B45" s="124" t="s">
        <v>65</v>
      </c>
      <c r="C45" s="167" t="s">
        <v>121</v>
      </c>
      <c r="D45" s="167"/>
      <c r="E45" s="167"/>
      <c r="F45" s="165" t="s">
        <v>76</v>
      </c>
      <c r="G45" s="165"/>
      <c r="H45" s="124"/>
      <c r="I45" s="124"/>
      <c r="J45" s="124"/>
      <c r="K45" s="2"/>
      <c r="L45" s="2"/>
      <c r="M45" s="105"/>
      <c r="N45" s="105"/>
    </row>
    <row r="46" spans="2:14" ht="9.75" customHeight="1">
      <c r="B46" s="124"/>
      <c r="C46" s="124"/>
      <c r="D46" s="124"/>
      <c r="E46" s="125"/>
      <c r="F46" s="165"/>
      <c r="G46" s="165"/>
      <c r="H46" s="124"/>
      <c r="I46" s="124"/>
      <c r="J46" s="124"/>
    </row>
    <row r="47" spans="2:14">
      <c r="B47" s="124" t="s">
        <v>66</v>
      </c>
      <c r="C47" s="167" t="s">
        <v>121</v>
      </c>
      <c r="D47" s="167"/>
      <c r="E47" s="167"/>
      <c r="F47" s="165" t="s">
        <v>127</v>
      </c>
      <c r="G47" s="165"/>
      <c r="H47" s="124"/>
      <c r="I47" s="124"/>
      <c r="J47" s="124"/>
    </row>
    <row r="48" spans="2:14" ht="8.25" customHeight="1">
      <c r="B48" s="51"/>
      <c r="C48" s="51"/>
      <c r="D48" s="51"/>
      <c r="E48" s="125"/>
      <c r="F48" s="52"/>
      <c r="G48" s="53"/>
      <c r="H48" s="54"/>
      <c r="I48" s="54"/>
      <c r="J48" s="54"/>
    </row>
    <row r="49" spans="2:7">
      <c r="B49" s="124" t="s">
        <v>67</v>
      </c>
      <c r="C49" s="167" t="s">
        <v>121</v>
      </c>
      <c r="D49" s="167"/>
      <c r="E49" s="167"/>
      <c r="F49" s="165" t="s">
        <v>127</v>
      </c>
      <c r="G49" s="165"/>
    </row>
    <row r="50" spans="2:7" ht="9" customHeight="1">
      <c r="B50" s="55"/>
      <c r="C50" s="55"/>
      <c r="D50" s="55"/>
      <c r="E50" s="125"/>
      <c r="F50" s="164"/>
      <c r="G50" s="164"/>
    </row>
  </sheetData>
  <mergeCells count="61">
    <mergeCell ref="M22:M23"/>
    <mergeCell ref="N22:N23"/>
    <mergeCell ref="C37:D37"/>
    <mergeCell ref="C38:D38"/>
    <mergeCell ref="C39:D39"/>
    <mergeCell ref="B36:H36"/>
    <mergeCell ref="E37:F37"/>
    <mergeCell ref="G37:H37"/>
    <mergeCell ref="E38:F38"/>
    <mergeCell ref="G38:H38"/>
    <mergeCell ref="F50:G50"/>
    <mergeCell ref="F45:G45"/>
    <mergeCell ref="F46:G46"/>
    <mergeCell ref="F47:G47"/>
    <mergeCell ref="C15:D15"/>
    <mergeCell ref="C16:D16"/>
    <mergeCell ref="C17:D17"/>
    <mergeCell ref="C18:D18"/>
    <mergeCell ref="C19:D19"/>
    <mergeCell ref="C41:D41"/>
    <mergeCell ref="C42:D42"/>
    <mergeCell ref="G42:H42"/>
    <mergeCell ref="E41:F41"/>
    <mergeCell ref="G41:H41"/>
    <mergeCell ref="G39:H39"/>
    <mergeCell ref="E40:F40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E16:F16"/>
    <mergeCell ref="G16:H16"/>
    <mergeCell ref="E17:F17"/>
    <mergeCell ref="G17:H17"/>
    <mergeCell ref="E20:F20"/>
    <mergeCell ref="G20:H20"/>
    <mergeCell ref="E18:F18"/>
    <mergeCell ref="G18:H18"/>
    <mergeCell ref="E19:F19"/>
    <mergeCell ref="G19:H19"/>
    <mergeCell ref="C43:E43"/>
    <mergeCell ref="C45:E45"/>
    <mergeCell ref="C47:E47"/>
    <mergeCell ref="C49:E49"/>
    <mergeCell ref="C20:D20"/>
    <mergeCell ref="E39:F39"/>
    <mergeCell ref="F43:G43"/>
    <mergeCell ref="F44:G44"/>
    <mergeCell ref="E42:F42"/>
    <mergeCell ref="F49:G49"/>
    <mergeCell ref="G40:H40"/>
    <mergeCell ref="C40:D40"/>
  </mergeCells>
  <printOptions horizontalCentered="1"/>
  <pageMargins left="0.19685039370078741" right="0.19685039370078741" top="0.15748031496062992" bottom="0.23622047244094491" header="0.31496062992125984" footer="0.31496062992125984"/>
  <pageSetup paperSize="9"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" style="3" customWidth="1"/>
    <col min="3" max="3" width="21.42578125" style="56" customWidth="1"/>
    <col min="4" max="4" width="9.5703125" style="133" customWidth="1"/>
    <col min="5" max="5" width="10.28515625" style="133" customWidth="1"/>
    <col min="6" max="6" width="11" style="3" customWidth="1"/>
    <col min="7" max="7" width="11.28515625" style="3" customWidth="1"/>
    <col min="8" max="8" width="11" style="3" customWidth="1"/>
    <col min="9" max="9" width="10.7109375" style="3" bestFit="1" customWidth="1"/>
    <col min="10" max="12" width="9.140625" style="3"/>
    <col min="13" max="14" width="13.7109375" style="102" customWidth="1"/>
    <col min="15" max="16384" width="9.140625" style="3"/>
  </cols>
  <sheetData>
    <row r="1" spans="1:9">
      <c r="B1" s="150" t="s">
        <v>91</v>
      </c>
      <c r="C1" s="150"/>
      <c r="D1" s="150"/>
      <c r="E1" s="150"/>
      <c r="F1" s="150"/>
      <c r="G1" s="150"/>
      <c r="H1" s="150"/>
    </row>
    <row r="2" spans="1:9" ht="19.5" customHeight="1">
      <c r="A2" s="12"/>
      <c r="B2" s="200" t="s">
        <v>137</v>
      </c>
      <c r="C2" s="200"/>
      <c r="D2" s="200"/>
      <c r="E2" s="200"/>
      <c r="F2" s="200"/>
      <c r="G2" s="200"/>
      <c r="H2" s="200"/>
    </row>
    <row r="3" spans="1:9" ht="20.25" customHeight="1">
      <c r="A3" s="12"/>
      <c r="B3" s="200"/>
      <c r="C3" s="200"/>
      <c r="D3" s="200"/>
      <c r="E3" s="200"/>
      <c r="F3" s="200"/>
      <c r="G3" s="200"/>
      <c r="H3" s="200"/>
    </row>
    <row r="4" spans="1:9" ht="15" customHeight="1"/>
    <row r="5" spans="1:9">
      <c r="B5" s="3" t="s">
        <v>0</v>
      </c>
      <c r="D5" s="159" t="s">
        <v>35</v>
      </c>
      <c r="E5" s="159"/>
    </row>
    <row r="6" spans="1:9">
      <c r="B6" s="3" t="s">
        <v>1</v>
      </c>
      <c r="D6" s="128">
        <v>1960</v>
      </c>
      <c r="E6" s="128"/>
    </row>
    <row r="7" spans="1:9" ht="15.75" hidden="1" customHeight="1" outlineLevel="1">
      <c r="B7" s="3" t="s">
        <v>2</v>
      </c>
      <c r="D7" s="128">
        <v>2</v>
      </c>
      <c r="E7" s="128"/>
    </row>
    <row r="8" spans="1:9" ht="15.75" hidden="1" customHeight="1" outlineLevel="1">
      <c r="B8" s="3" t="s">
        <v>3</v>
      </c>
      <c r="D8" s="128">
        <v>16</v>
      </c>
      <c r="E8" s="128"/>
    </row>
    <row r="9" spans="1:9" ht="30.75" hidden="1" customHeight="1" outlineLevel="1">
      <c r="B9" s="13" t="s">
        <v>4</v>
      </c>
      <c r="C9" s="57"/>
      <c r="D9" s="128" t="s">
        <v>36</v>
      </c>
      <c r="E9" s="128"/>
    </row>
    <row r="10" spans="1:9" collapsed="1">
      <c r="B10" s="3" t="s">
        <v>5</v>
      </c>
      <c r="D10" s="128" t="s">
        <v>105</v>
      </c>
      <c r="E10" s="128"/>
      <c r="I10" s="10"/>
    </row>
    <row r="11" spans="1:9" ht="17.25" hidden="1" customHeight="1" outlineLevel="1">
      <c r="B11" s="3" t="s">
        <v>6</v>
      </c>
      <c r="D11" s="128" t="s">
        <v>7</v>
      </c>
      <c r="E11" s="128"/>
    </row>
    <row r="12" spans="1:9" ht="30.75" hidden="1" customHeight="1" outlineLevel="1">
      <c r="B12" s="13" t="s">
        <v>8</v>
      </c>
      <c r="C12" s="57"/>
      <c r="D12" s="101" t="s">
        <v>37</v>
      </c>
      <c r="E12" s="128"/>
      <c r="I12" s="10"/>
    </row>
    <row r="13" spans="1:9" collapsed="1">
      <c r="B13" s="13"/>
      <c r="C13" s="57"/>
      <c r="D13" s="101"/>
      <c r="E13" s="128"/>
      <c r="I13" s="10"/>
    </row>
    <row r="14" spans="1:9" ht="16.5" thickBot="1">
      <c r="B14" s="192" t="s">
        <v>129</v>
      </c>
      <c r="C14" s="192"/>
      <c r="D14" s="192"/>
      <c r="E14" s="192"/>
      <c r="F14" s="192"/>
      <c r="G14" s="192"/>
      <c r="H14" s="192"/>
      <c r="I14" s="10"/>
    </row>
    <row r="15" spans="1:9" ht="43.5" customHeight="1" thickBot="1">
      <c r="B15" s="88" t="s">
        <v>130</v>
      </c>
      <c r="C15" s="135" t="s">
        <v>89</v>
      </c>
      <c r="D15" s="136"/>
      <c r="E15" s="147" t="s">
        <v>10</v>
      </c>
      <c r="F15" s="148"/>
      <c r="G15" s="147" t="s">
        <v>11</v>
      </c>
      <c r="H15" s="163"/>
      <c r="I15" s="10"/>
    </row>
    <row r="16" spans="1:9">
      <c r="B16" s="89" t="s">
        <v>12</v>
      </c>
      <c r="C16" s="137">
        <v>1076491.0911017952</v>
      </c>
      <c r="D16" s="185"/>
      <c r="E16" s="137">
        <v>791065.95110179519</v>
      </c>
      <c r="F16" s="185"/>
      <c r="G16" s="137">
        <v>285425.14</v>
      </c>
      <c r="H16" s="186"/>
      <c r="I16" s="10"/>
    </row>
    <row r="17" spans="2:14">
      <c r="B17" s="47" t="s">
        <v>13</v>
      </c>
      <c r="C17" s="142">
        <v>949520.4</v>
      </c>
      <c r="D17" s="180"/>
      <c r="E17" s="142">
        <v>699615.75</v>
      </c>
      <c r="F17" s="180"/>
      <c r="G17" s="142">
        <v>249904.65000000002</v>
      </c>
      <c r="H17" s="181"/>
      <c r="I17" s="10"/>
    </row>
    <row r="18" spans="2:14">
      <c r="B18" s="49" t="s">
        <v>63</v>
      </c>
      <c r="C18" s="142">
        <v>1032015.0205022787</v>
      </c>
      <c r="D18" s="180"/>
      <c r="E18" s="142">
        <v>800709.0205022787</v>
      </c>
      <c r="F18" s="180"/>
      <c r="G18" s="142">
        <v>231306</v>
      </c>
      <c r="H18" s="181"/>
      <c r="I18" s="10"/>
    </row>
    <row r="19" spans="2:14" ht="16.5" thickBot="1">
      <c r="B19" s="59" t="s">
        <v>114</v>
      </c>
      <c r="C19" s="145">
        <v>32400</v>
      </c>
      <c r="D19" s="183"/>
      <c r="E19" s="145">
        <v>32400</v>
      </c>
      <c r="F19" s="183"/>
      <c r="G19" s="145">
        <v>0</v>
      </c>
      <c r="H19" s="184"/>
      <c r="I19" s="10"/>
    </row>
    <row r="20" spans="2:14" ht="30" customHeight="1" thickBot="1">
      <c r="B20" s="11" t="s">
        <v>115</v>
      </c>
      <c r="C20" s="161">
        <f>E20+G20</f>
        <v>-50094.620502278674</v>
      </c>
      <c r="D20" s="179"/>
      <c r="E20" s="139">
        <f>E17+E19-E18</f>
        <v>-68693.270502278698</v>
      </c>
      <c r="F20" s="179"/>
      <c r="G20" s="139">
        <f>G17-G18</f>
        <v>18598.650000000023</v>
      </c>
      <c r="H20" s="182"/>
      <c r="I20" s="10"/>
    </row>
    <row r="21" spans="2:14">
      <c r="B21" s="13"/>
      <c r="C21" s="57"/>
      <c r="D21" s="101"/>
      <c r="E21" s="128"/>
      <c r="I21" s="10"/>
    </row>
    <row r="22" spans="2:14" ht="24.75" customHeight="1" thickBot="1">
      <c r="B22" s="208" t="s">
        <v>133</v>
      </c>
      <c r="C22" s="208"/>
      <c r="D22" s="208"/>
      <c r="E22" s="208"/>
      <c r="F22" s="208"/>
      <c r="G22" s="208"/>
      <c r="H22" s="208"/>
      <c r="I22" s="15"/>
      <c r="J22" s="15"/>
      <c r="L22" s="10"/>
      <c r="M22" s="168" t="s">
        <v>117</v>
      </c>
      <c r="N22" s="168" t="s">
        <v>118</v>
      </c>
    </row>
    <row r="23" spans="2:14" ht="27.75" customHeight="1">
      <c r="B23" s="151" t="s">
        <v>77</v>
      </c>
      <c r="C23" s="153" t="s">
        <v>78</v>
      </c>
      <c r="D23" s="153" t="s">
        <v>79</v>
      </c>
      <c r="E23" s="195" t="s">
        <v>134</v>
      </c>
      <c r="F23" s="155" t="s">
        <v>80</v>
      </c>
      <c r="G23" s="156"/>
      <c r="H23" s="157" t="s">
        <v>98</v>
      </c>
      <c r="I23" s="16"/>
      <c r="J23" s="16"/>
      <c r="L23" s="10"/>
      <c r="M23" s="189"/>
      <c r="N23" s="189"/>
    </row>
    <row r="24" spans="2:14" ht="45" customHeight="1" thickBot="1">
      <c r="B24" s="152"/>
      <c r="C24" s="154"/>
      <c r="D24" s="154"/>
      <c r="E24" s="196"/>
      <c r="F24" s="17" t="s">
        <v>68</v>
      </c>
      <c r="G24" s="18" t="s">
        <v>69</v>
      </c>
      <c r="H24" s="158"/>
      <c r="I24" s="16"/>
      <c r="J24" s="16"/>
      <c r="M24" s="103">
        <v>110768.71</v>
      </c>
      <c r="N24" s="104">
        <f>M24</f>
        <v>110768.71</v>
      </c>
    </row>
    <row r="25" spans="2:14" ht="50.25" customHeight="1">
      <c r="B25" s="19" t="s">
        <v>81</v>
      </c>
      <c r="C25" s="5" t="s">
        <v>96</v>
      </c>
      <c r="D25" s="20" t="s">
        <v>83</v>
      </c>
      <c r="E25" s="21">
        <v>3.42</v>
      </c>
      <c r="F25" s="22">
        <f>$M$24/$M$25*E25</f>
        <v>20860.627103524235</v>
      </c>
      <c r="G25" s="23">
        <f>$N$24/$N$25*E25</f>
        <v>20860.627103524235</v>
      </c>
      <c r="H25" s="24">
        <f>F25-G25</f>
        <v>0</v>
      </c>
      <c r="I25" s="25"/>
      <c r="J25" s="25"/>
      <c r="K25" s="130"/>
      <c r="L25" s="26"/>
      <c r="M25" s="104">
        <f>E34-E32</f>
        <v>18.159999999999997</v>
      </c>
      <c r="N25" s="104">
        <f>E34-E32</f>
        <v>18.159999999999997</v>
      </c>
    </row>
    <row r="26" spans="2:14" ht="56.25">
      <c r="B26" s="27" t="s">
        <v>75</v>
      </c>
      <c r="C26" s="5" t="s">
        <v>96</v>
      </c>
      <c r="D26" s="20" t="s">
        <v>83</v>
      </c>
      <c r="E26" s="6">
        <v>3.8</v>
      </c>
      <c r="F26" s="22">
        <f>$M$24/$M$25*E26</f>
        <v>23178.474559471371</v>
      </c>
      <c r="G26" s="23">
        <f>$N$24/$N$25*E26</f>
        <v>23178.474559471371</v>
      </c>
      <c r="H26" s="24">
        <f t="shared" ref="H26:H31" si="0">F26-G26</f>
        <v>0</v>
      </c>
      <c r="I26" s="25"/>
      <c r="J26" s="25"/>
      <c r="K26" s="2"/>
      <c r="L26" s="2"/>
      <c r="M26" s="105"/>
      <c r="N26" s="105"/>
    </row>
    <row r="27" spans="2:14" ht="52.5" customHeight="1">
      <c r="B27" s="28" t="s">
        <v>70</v>
      </c>
      <c r="C27" s="5" t="s">
        <v>96</v>
      </c>
      <c r="D27" s="20" t="s">
        <v>83</v>
      </c>
      <c r="E27" s="6">
        <v>0.35</v>
      </c>
      <c r="F27" s="22">
        <f t="shared" ref="F27:F33" si="1">$M$24/$M$25*E27</f>
        <v>2134.8594988986788</v>
      </c>
      <c r="G27" s="23">
        <f t="shared" ref="G27:G30" si="2">$N$24/$N$25*E27</f>
        <v>2134.8594988986788</v>
      </c>
      <c r="H27" s="24">
        <f t="shared" si="0"/>
        <v>0</v>
      </c>
      <c r="I27" s="25"/>
      <c r="J27" s="25"/>
      <c r="L27" s="10"/>
    </row>
    <row r="28" spans="2:14" ht="25.5">
      <c r="B28" s="28" t="s">
        <v>84</v>
      </c>
      <c r="C28" s="29" t="s">
        <v>85</v>
      </c>
      <c r="D28" s="20" t="s">
        <v>83</v>
      </c>
      <c r="E28" s="6">
        <v>0.64</v>
      </c>
      <c r="F28" s="22">
        <f>($M$24/12*2)/$M$25*E28</f>
        <v>650.62384728340692</v>
      </c>
      <c r="G28" s="23">
        <f>($N$24/12*2)/$N$25*E28</f>
        <v>650.62384728340692</v>
      </c>
      <c r="H28" s="24">
        <f t="shared" si="0"/>
        <v>0</v>
      </c>
      <c r="I28" s="25"/>
      <c r="J28" s="25"/>
      <c r="L28" s="10"/>
    </row>
    <row r="29" spans="2:14" ht="51">
      <c r="B29" s="27" t="s">
        <v>71</v>
      </c>
      <c r="C29" s="5" t="s">
        <v>97</v>
      </c>
      <c r="D29" s="20" t="s">
        <v>83</v>
      </c>
      <c r="E29" s="6">
        <v>1.92</v>
      </c>
      <c r="F29" s="22">
        <f t="shared" si="1"/>
        <v>11711.229251101324</v>
      </c>
      <c r="G29" s="23">
        <f t="shared" si="2"/>
        <v>11711.229251101324</v>
      </c>
      <c r="H29" s="24">
        <f t="shared" si="0"/>
        <v>0</v>
      </c>
      <c r="I29" s="25"/>
      <c r="J29" s="25"/>
    </row>
    <row r="30" spans="2:14" ht="226.5" customHeight="1">
      <c r="B30" s="27" t="s">
        <v>95</v>
      </c>
      <c r="C30" s="30" t="s">
        <v>86</v>
      </c>
      <c r="D30" s="20" t="s">
        <v>83</v>
      </c>
      <c r="E30" s="6">
        <v>7.17</v>
      </c>
      <c r="F30" s="22">
        <f t="shared" si="1"/>
        <v>43734.121734581509</v>
      </c>
      <c r="G30" s="23">
        <f t="shared" si="2"/>
        <v>43734.121734581509</v>
      </c>
      <c r="H30" s="24">
        <f t="shared" si="0"/>
        <v>0</v>
      </c>
      <c r="I30" s="25"/>
      <c r="J30" s="25"/>
      <c r="K30" s="2"/>
      <c r="L30" s="1"/>
      <c r="M30" s="105"/>
      <c r="N30" s="105"/>
    </row>
    <row r="31" spans="2:14" ht="108.75" customHeight="1">
      <c r="B31" s="27" t="s">
        <v>87</v>
      </c>
      <c r="C31" s="5" t="s">
        <v>96</v>
      </c>
      <c r="D31" s="20" t="s">
        <v>83</v>
      </c>
      <c r="E31" s="6">
        <v>0.3</v>
      </c>
      <c r="F31" s="22">
        <f t="shared" si="1"/>
        <v>1829.879570484582</v>
      </c>
      <c r="G31" s="23">
        <f t="shared" ref="G31" si="3">$N$24/$N$25*E31</f>
        <v>1829.879570484582</v>
      </c>
      <c r="H31" s="24">
        <f t="shared" si="0"/>
        <v>0</v>
      </c>
      <c r="I31" s="25"/>
      <c r="J31" s="25"/>
    </row>
    <row r="32" spans="2:14" ht="56.25">
      <c r="B32" s="28" t="s">
        <v>88</v>
      </c>
      <c r="C32" s="5" t="s">
        <v>96</v>
      </c>
      <c r="D32" s="20" t="s">
        <v>83</v>
      </c>
      <c r="E32" s="6">
        <v>4.1500000000000004</v>
      </c>
      <c r="F32" s="22">
        <v>25313.33</v>
      </c>
      <c r="G32" s="4">
        <v>20269</v>
      </c>
      <c r="H32" s="24">
        <f>F32-G32</f>
        <v>5044.3300000000017</v>
      </c>
      <c r="I32" s="25"/>
      <c r="J32" s="25"/>
      <c r="L32" s="10"/>
    </row>
    <row r="33" spans="2:14" ht="16.5" thickBot="1">
      <c r="B33" s="31" t="s">
        <v>73</v>
      </c>
      <c r="C33" s="32" t="s">
        <v>86</v>
      </c>
      <c r="D33" s="33" t="s">
        <v>83</v>
      </c>
      <c r="E33" s="34">
        <v>0.56000000000000005</v>
      </c>
      <c r="F33" s="22">
        <f t="shared" si="1"/>
        <v>3415.7751982378868</v>
      </c>
      <c r="G33" s="23">
        <f t="shared" ref="G33" si="4">$N$24/$N$25*E33</f>
        <v>3415.7751982378868</v>
      </c>
      <c r="H33" s="35">
        <f>F33-G33</f>
        <v>0</v>
      </c>
      <c r="I33" s="25"/>
      <c r="J33" s="25"/>
    </row>
    <row r="34" spans="2:14" ht="16.5" thickBot="1">
      <c r="B34" s="36" t="s">
        <v>74</v>
      </c>
      <c r="C34" s="37"/>
      <c r="D34" s="37"/>
      <c r="E34" s="38">
        <f>SUM(E25:E33)</f>
        <v>22.31</v>
      </c>
      <c r="F34" s="39">
        <f>SUM(F25:F33)</f>
        <v>132828.92076358301</v>
      </c>
      <c r="G34" s="40">
        <f>SUM(G25:G33)</f>
        <v>127784.59076358299</v>
      </c>
      <c r="H34" s="41">
        <f>SUM(H25:H33)</f>
        <v>5044.3300000000017</v>
      </c>
      <c r="I34" s="42"/>
      <c r="J34" s="42"/>
    </row>
    <row r="35" spans="2:14">
      <c r="B35" s="10"/>
      <c r="C35" s="10"/>
      <c r="D35" s="10"/>
      <c r="E35" s="132"/>
      <c r="F35" s="132"/>
      <c r="G35" s="132"/>
      <c r="H35" s="133"/>
      <c r="I35" s="133"/>
      <c r="J35" s="133"/>
    </row>
    <row r="36" spans="2:14" ht="16.5" customHeight="1" thickBot="1">
      <c r="B36" s="192" t="s">
        <v>135</v>
      </c>
      <c r="C36" s="192"/>
      <c r="D36" s="192"/>
      <c r="E36" s="192"/>
      <c r="F36" s="192"/>
      <c r="G36" s="192"/>
      <c r="H36" s="192"/>
      <c r="I36" s="43"/>
      <c r="J36" s="43"/>
    </row>
    <row r="37" spans="2:14" ht="44.25" customHeight="1" thickBot="1">
      <c r="B37" s="88" t="s">
        <v>136</v>
      </c>
      <c r="C37" s="135" t="s">
        <v>89</v>
      </c>
      <c r="D37" s="136"/>
      <c r="E37" s="147" t="s">
        <v>10</v>
      </c>
      <c r="F37" s="148"/>
      <c r="G37" s="147" t="s">
        <v>11</v>
      </c>
      <c r="H37" s="163"/>
      <c r="I37" s="44"/>
      <c r="J37" s="44"/>
      <c r="K37" s="45"/>
      <c r="L37" s="46"/>
      <c r="M37" s="106"/>
      <c r="N37" s="106"/>
    </row>
    <row r="38" spans="2:14">
      <c r="B38" s="89" t="s">
        <v>12</v>
      </c>
      <c r="C38" s="137">
        <f>E38+G38</f>
        <v>1209320.0118653781</v>
      </c>
      <c r="D38" s="185"/>
      <c r="E38" s="137">
        <f>F25+F26+F27+F28+F29+F30+F31+F33+E16</f>
        <v>898581.54186537815</v>
      </c>
      <c r="F38" s="185"/>
      <c r="G38" s="137">
        <f>F32+G16</f>
        <v>310738.47000000003</v>
      </c>
      <c r="H38" s="186"/>
      <c r="I38" s="48"/>
      <c r="J38" s="48"/>
      <c r="K38" s="7"/>
      <c r="L38" s="7"/>
      <c r="M38" s="107"/>
    </row>
    <row r="39" spans="2:14">
      <c r="B39" s="47" t="s">
        <v>13</v>
      </c>
      <c r="C39" s="142">
        <f>E39+G39</f>
        <v>1064643.6599999999</v>
      </c>
      <c r="D39" s="180"/>
      <c r="E39" s="142">
        <f>E17+93708.58</f>
        <v>793324.33</v>
      </c>
      <c r="F39" s="180"/>
      <c r="G39" s="142">
        <f>G17+21414.68</f>
        <v>271319.33</v>
      </c>
      <c r="H39" s="181"/>
      <c r="I39" s="48"/>
      <c r="J39" s="48"/>
      <c r="K39" s="9"/>
      <c r="L39" s="7"/>
      <c r="M39" s="107"/>
    </row>
    <row r="40" spans="2:14">
      <c r="B40" s="49" t="s">
        <v>63</v>
      </c>
      <c r="C40" s="142">
        <f>E40+G40</f>
        <v>1159799.6112658617</v>
      </c>
      <c r="D40" s="180"/>
      <c r="E40" s="142">
        <f>G25+G26+G27+G28+G29+G30+G31+G33+E18</f>
        <v>908224.61126586166</v>
      </c>
      <c r="F40" s="180"/>
      <c r="G40" s="142">
        <f>G32+G18</f>
        <v>251575</v>
      </c>
      <c r="H40" s="181"/>
      <c r="I40" s="48"/>
      <c r="J40" s="48"/>
      <c r="K40" s="50"/>
      <c r="L40" s="50"/>
    </row>
    <row r="41" spans="2:14" ht="16.5" thickBot="1">
      <c r="B41" s="59" t="s">
        <v>114</v>
      </c>
      <c r="C41" s="145">
        <f>E41+G41</f>
        <v>36000</v>
      </c>
      <c r="D41" s="183"/>
      <c r="E41" s="145">
        <f>E19+3600</f>
        <v>36000</v>
      </c>
      <c r="F41" s="183"/>
      <c r="G41" s="145">
        <f>G19</f>
        <v>0</v>
      </c>
      <c r="H41" s="184"/>
      <c r="I41" s="48"/>
      <c r="J41" s="48"/>
      <c r="K41" s="50"/>
      <c r="L41" s="50"/>
    </row>
    <row r="42" spans="2:14" ht="36.75" thickBot="1">
      <c r="B42" s="11" t="s">
        <v>116</v>
      </c>
      <c r="C42" s="161">
        <f>E42+G42</f>
        <v>-59155.951265861688</v>
      </c>
      <c r="D42" s="179"/>
      <c r="E42" s="139">
        <f>E39+E41-E40</f>
        <v>-78900.281265861704</v>
      </c>
      <c r="F42" s="179"/>
      <c r="G42" s="139">
        <f>G39-G40</f>
        <v>19744.330000000016</v>
      </c>
      <c r="H42" s="182"/>
      <c r="I42" s="48"/>
      <c r="J42" s="48"/>
      <c r="K42" s="50"/>
      <c r="L42" s="50"/>
    </row>
    <row r="43" spans="2:14" ht="34.5" customHeight="1">
      <c r="B43" s="124" t="s">
        <v>64</v>
      </c>
      <c r="C43" s="187" t="s">
        <v>121</v>
      </c>
      <c r="D43" s="187"/>
      <c r="E43" s="187"/>
      <c r="F43" s="188" t="s">
        <v>126</v>
      </c>
      <c r="G43" s="188"/>
      <c r="H43" s="124"/>
      <c r="I43" s="124"/>
      <c r="J43" s="124"/>
      <c r="K43" s="2"/>
      <c r="L43" s="2"/>
      <c r="M43" s="105"/>
      <c r="N43" s="105"/>
    </row>
    <row r="44" spans="2:14" ht="11.25" customHeight="1">
      <c r="B44" s="124"/>
      <c r="C44" s="124"/>
      <c r="D44" s="124"/>
      <c r="E44" s="125"/>
      <c r="F44" s="166"/>
      <c r="G44" s="166"/>
      <c r="H44" s="126"/>
      <c r="I44" s="126"/>
      <c r="J44" s="126"/>
      <c r="K44" s="2"/>
      <c r="L44" s="2"/>
      <c r="M44" s="105"/>
      <c r="N44" s="105"/>
    </row>
    <row r="45" spans="2:14">
      <c r="B45" s="124" t="s">
        <v>65</v>
      </c>
      <c r="C45" s="167" t="s">
        <v>121</v>
      </c>
      <c r="D45" s="167"/>
      <c r="E45" s="167"/>
      <c r="F45" s="165" t="s">
        <v>76</v>
      </c>
      <c r="G45" s="165"/>
      <c r="H45" s="124"/>
      <c r="I45" s="124"/>
      <c r="J45" s="124"/>
      <c r="K45" s="2"/>
      <c r="L45" s="2"/>
      <c r="M45" s="105"/>
      <c r="N45" s="105"/>
    </row>
    <row r="46" spans="2:14" ht="9.75" customHeight="1">
      <c r="B46" s="124"/>
      <c r="C46" s="124"/>
      <c r="D46" s="124"/>
      <c r="E46" s="125"/>
      <c r="F46" s="165"/>
      <c r="G46" s="165"/>
      <c r="H46" s="124"/>
      <c r="I46" s="124"/>
      <c r="J46" s="124"/>
    </row>
    <row r="47" spans="2:14">
      <c r="B47" s="124" t="s">
        <v>66</v>
      </c>
      <c r="C47" s="167" t="s">
        <v>121</v>
      </c>
      <c r="D47" s="167"/>
      <c r="E47" s="167"/>
      <c r="F47" s="165" t="s">
        <v>127</v>
      </c>
      <c r="G47" s="165"/>
      <c r="H47" s="124"/>
      <c r="I47" s="124"/>
      <c r="J47" s="124"/>
    </row>
    <row r="48" spans="2:14" ht="8.25" customHeight="1">
      <c r="B48" s="51"/>
      <c r="C48" s="51"/>
      <c r="D48" s="51"/>
      <c r="E48" s="125"/>
      <c r="F48" s="52"/>
      <c r="G48" s="53"/>
      <c r="H48" s="54"/>
      <c r="I48" s="54"/>
      <c r="J48" s="54"/>
    </row>
    <row r="49" spans="2:7">
      <c r="B49" s="124" t="s">
        <v>67</v>
      </c>
      <c r="C49" s="167" t="s">
        <v>121</v>
      </c>
      <c r="D49" s="167"/>
      <c r="E49" s="167"/>
      <c r="F49" s="165" t="s">
        <v>127</v>
      </c>
      <c r="G49" s="165"/>
    </row>
    <row r="50" spans="2:7" ht="9" customHeight="1">
      <c r="B50" s="55"/>
      <c r="C50" s="55"/>
      <c r="D50" s="55"/>
      <c r="E50" s="125"/>
      <c r="F50" s="164"/>
      <c r="G50" s="164"/>
    </row>
  </sheetData>
  <mergeCells count="61">
    <mergeCell ref="G42:H42"/>
    <mergeCell ref="B36:H36"/>
    <mergeCell ref="E37:F37"/>
    <mergeCell ref="G37:H37"/>
    <mergeCell ref="E38:F38"/>
    <mergeCell ref="G38:H38"/>
    <mergeCell ref="G41:H41"/>
    <mergeCell ref="C41:D41"/>
    <mergeCell ref="C42:D42"/>
    <mergeCell ref="E40:F40"/>
    <mergeCell ref="E42:F42"/>
    <mergeCell ref="E41:F41"/>
    <mergeCell ref="M22:M23"/>
    <mergeCell ref="N22:N23"/>
    <mergeCell ref="C37:D37"/>
    <mergeCell ref="C38:D38"/>
    <mergeCell ref="C39:D39"/>
    <mergeCell ref="G39:H39"/>
    <mergeCell ref="E39:F39"/>
    <mergeCell ref="C15:D15"/>
    <mergeCell ref="C16:D16"/>
    <mergeCell ref="C17:D17"/>
    <mergeCell ref="C18:D18"/>
    <mergeCell ref="C19:D19"/>
    <mergeCell ref="C43:E43"/>
    <mergeCell ref="F47:G47"/>
    <mergeCell ref="F49:G49"/>
    <mergeCell ref="F50:G50"/>
    <mergeCell ref="F44:G44"/>
    <mergeCell ref="F45:G45"/>
    <mergeCell ref="F46:G46"/>
    <mergeCell ref="C45:E45"/>
    <mergeCell ref="C47:E47"/>
    <mergeCell ref="C49:E49"/>
    <mergeCell ref="F43:G43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E16:F16"/>
    <mergeCell ref="G16:H16"/>
    <mergeCell ref="E17:F17"/>
    <mergeCell ref="C20:D20"/>
    <mergeCell ref="C40:D40"/>
    <mergeCell ref="G17:H17"/>
    <mergeCell ref="E20:F20"/>
    <mergeCell ref="G20:H20"/>
    <mergeCell ref="E18:F18"/>
    <mergeCell ref="G18:H18"/>
    <mergeCell ref="E19:F19"/>
    <mergeCell ref="G19:H19"/>
    <mergeCell ref="G40:H40"/>
  </mergeCells>
  <printOptions horizontalCentered="1"/>
  <pageMargins left="0.19685039370078741" right="0.19685039370078741" top="0.15748031496062992" bottom="0.23622047244094491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вой.64</vt:lpstr>
      <vt:lpstr>вой.66</vt:lpstr>
      <vt:lpstr>коп.3</vt:lpstr>
      <vt:lpstr>коп.5</vt:lpstr>
      <vt:lpstr>коп.7</vt:lpstr>
      <vt:lpstr>коп.8</vt:lpstr>
      <vt:lpstr>коп.10</vt:lpstr>
      <vt:lpstr>коп.15</vt:lpstr>
      <vt:lpstr>коп.17</vt:lpstr>
      <vt:lpstr>маг.4</vt:lpstr>
      <vt:lpstr>маг.6</vt:lpstr>
      <vt:lpstr>мар.рас.16</vt:lpstr>
      <vt:lpstr>перс.1</vt:lpstr>
      <vt:lpstr>перс.3</vt:lpstr>
      <vt:lpstr>фест.4</vt:lpstr>
      <vt:lpstr>фест.8</vt:lpstr>
      <vt:lpstr>фест.10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2026-06-09T13:40:32Z</dcterms:modified>
</cp:coreProperties>
</file>