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7" activeTab="19"/>
  </bookViews>
  <sheets>
    <sheet name="айв. 14" sheetId="77" r:id="rId1"/>
    <sheet name="айв.16" sheetId="1" r:id="rId2"/>
    <sheet name="айв. 18" sheetId="2" r:id="rId3"/>
    <sheet name="айв.20" sheetId="3" r:id="rId4"/>
    <sheet name="В Р 36" sheetId="4" r:id="rId5"/>
    <sheet name="Гр.1" sheetId="5" r:id="rId6"/>
    <sheet name="Гр.3" sheetId="6" r:id="rId7"/>
    <sheet name="Грес.7" sheetId="7" r:id="rId8"/>
    <sheet name="Гр.15" sheetId="8" r:id="rId9"/>
    <sheet name="Гр.17" sheetId="9" r:id="rId10"/>
    <sheet name="Гр.19" sheetId="10" r:id="rId11"/>
    <sheet name="дем.18" sheetId="11" r:id="rId12"/>
    <sheet name="дем.20" sheetId="12" r:id="rId13"/>
    <sheet name="дем.22" sheetId="13" r:id="rId14"/>
    <sheet name="дем.24" sheetId="14" r:id="rId15"/>
    <sheet name="зем.13" sheetId="15" r:id="rId16"/>
    <sheet name="зем. 15" sheetId="16" r:id="rId17"/>
    <sheet name="зем.22" sheetId="17" r:id="rId18"/>
    <sheet name="Зем.24" sheetId="18" r:id="rId19"/>
    <sheet name="либ.1" sheetId="19" r:id="rId20"/>
    <sheet name="либ.2" sheetId="20" r:id="rId21"/>
    <sheet name="сед.21" sheetId="57" r:id="rId22"/>
    <sheet name="либ.11" sheetId="21" r:id="rId23"/>
    <sheet name="либ.11а" sheetId="22" r:id="rId24"/>
    <sheet name="либ.12" sheetId="23" r:id="rId25"/>
    <sheet name="либ.17" sheetId="25" r:id="rId26"/>
    <sheet name="К.М.60" sheetId="27" r:id="rId27"/>
    <sheet name="К.М.62" sheetId="28" r:id="rId28"/>
    <sheet name="крас.19" sheetId="29" r:id="rId29"/>
    <sheet name="Пич.1" sheetId="31" r:id="rId30"/>
    <sheet name="пич.3" sheetId="32" r:id="rId31"/>
    <sheet name="пич.5" sheetId="33" r:id="rId32"/>
    <sheet name="пич.9" sheetId="34" r:id="rId33"/>
    <sheet name="пич.9а" sheetId="35" r:id="rId34"/>
    <sheet name="пич.11" sheetId="37" r:id="rId35"/>
    <sheet name="пич.13" sheetId="39" r:id="rId36"/>
    <sheet name="пич.15" sheetId="41" r:id="rId37"/>
    <sheet name="пич.17" sheetId="43" r:id="rId38"/>
    <sheet name="пич.19" sheetId="44" r:id="rId39"/>
    <sheet name="пич.21" sheetId="46" r:id="rId40"/>
    <sheet name="пич.23" sheetId="48" r:id="rId41"/>
    <sheet name="люкс.2" sheetId="50" r:id="rId42"/>
    <sheet name="люкс.2а" sheetId="51" r:id="rId43"/>
    <sheet name="Северная 4" sheetId="52" r:id="rId44"/>
    <sheet name="сед.4а" sheetId="53" r:id="rId45"/>
    <sheet name="сед.8а" sheetId="54" r:id="rId46"/>
    <sheet name="сед.15" sheetId="55" r:id="rId47"/>
    <sheet name="сед.15а" sheetId="56" r:id="rId48"/>
    <sheet name="сед.23" sheetId="58" r:id="rId49"/>
    <sheet name="сед.25" sheetId="59" r:id="rId50"/>
    <sheet name="ст.раз.28" sheetId="60" r:id="rId51"/>
    <sheet name="тр.2а" sheetId="62" r:id="rId52"/>
    <sheet name="тр.4а" sheetId="75" r:id="rId53"/>
    <sheet name="тр6А" sheetId="78" r:id="rId54"/>
    <sheet name="тр.7а" sheetId="76" r:id="rId55"/>
    <sheet name="тр.36а" sheetId="63" r:id="rId56"/>
    <sheet name="тр.40а" sheetId="64" r:id="rId57"/>
    <sheet name="щорса 16" sheetId="66" r:id="rId58"/>
  </sheets>
  <calcPr calcId="124519"/>
  <fileRecoveryPr autoRecover="0"/>
</workbook>
</file>

<file path=xl/calcChain.xml><?xml version="1.0" encoding="utf-8"?>
<calcChain xmlns="http://schemas.openxmlformats.org/spreadsheetml/2006/main">
  <c r="G38" i="66"/>
  <c r="E38"/>
  <c r="G38" i="64"/>
  <c r="E38"/>
  <c r="G38" i="63"/>
  <c r="E38"/>
  <c r="G38" i="76"/>
  <c r="E38"/>
  <c r="G38" i="78"/>
  <c r="E38"/>
  <c r="G38" i="75"/>
  <c r="E38"/>
  <c r="G38" i="62"/>
  <c r="E38"/>
  <c r="F27" i="60"/>
  <c r="G38"/>
  <c r="E38"/>
  <c r="G39" i="59"/>
  <c r="E39"/>
  <c r="G39" i="58"/>
  <c r="E39"/>
  <c r="E34"/>
  <c r="G39" i="56"/>
  <c r="E39"/>
  <c r="G38" i="55"/>
  <c r="E38"/>
  <c r="G39" i="54"/>
  <c r="E39"/>
  <c r="G39" i="53"/>
  <c r="E39"/>
  <c r="G38" i="52"/>
  <c r="E38"/>
  <c r="G38" i="51"/>
  <c r="E38"/>
  <c r="G38" i="50"/>
  <c r="E38"/>
  <c r="G38" i="48"/>
  <c r="E38"/>
  <c r="G38" i="46"/>
  <c r="E38"/>
  <c r="G39" i="44"/>
  <c r="E39"/>
  <c r="G38" i="43"/>
  <c r="E38"/>
  <c r="G39" i="41"/>
  <c r="E39"/>
  <c r="G39" i="39"/>
  <c r="E39"/>
  <c r="G38" i="37"/>
  <c r="E38"/>
  <c r="G39" i="35"/>
  <c r="E39"/>
  <c r="G38" i="34"/>
  <c r="E38"/>
  <c r="G38" i="33"/>
  <c r="E38"/>
  <c r="G39" i="32"/>
  <c r="E39"/>
  <c r="G38" i="31"/>
  <c r="E38"/>
  <c r="G38" i="29"/>
  <c r="E38"/>
  <c r="G38" i="28"/>
  <c r="E38"/>
  <c r="G38" i="27"/>
  <c r="E38"/>
  <c r="G38" i="25"/>
  <c r="E38"/>
  <c r="G38" i="23"/>
  <c r="E38"/>
  <c r="G38" i="22"/>
  <c r="E38"/>
  <c r="G38" i="21"/>
  <c r="E38"/>
  <c r="G38" i="18"/>
  <c r="E38"/>
  <c r="G39" i="17"/>
  <c r="E39"/>
  <c r="G39" i="16"/>
  <c r="E39"/>
  <c r="E34"/>
  <c r="G38" i="15"/>
  <c r="E38"/>
  <c r="E33"/>
  <c r="G39" i="14" l="1"/>
  <c r="E39"/>
  <c r="G38" i="13"/>
  <c r="E38"/>
  <c r="G39" i="12"/>
  <c r="E39"/>
  <c r="G39" i="11"/>
  <c r="E39"/>
  <c r="E38" i="10"/>
  <c r="G39" i="9"/>
  <c r="E39"/>
  <c r="E20"/>
  <c r="C20"/>
  <c r="E20" i="8"/>
  <c r="C20"/>
  <c r="G39"/>
  <c r="E39"/>
  <c r="G38" i="7"/>
  <c r="E38"/>
  <c r="E19"/>
  <c r="C19"/>
  <c r="G39" i="6"/>
  <c r="E39"/>
  <c r="G39" i="5"/>
  <c r="E39"/>
  <c r="G39" i="4"/>
  <c r="E39"/>
  <c r="C20"/>
  <c r="E20"/>
  <c r="G38" i="3"/>
  <c r="E38"/>
  <c r="G28"/>
  <c r="F28"/>
  <c r="G27"/>
  <c r="F27"/>
  <c r="E33"/>
  <c r="G20" i="2"/>
  <c r="E20"/>
  <c r="C20"/>
  <c r="E38"/>
  <c r="E38" i="77"/>
  <c r="E36"/>
  <c r="E40" i="2"/>
  <c r="E42"/>
  <c r="G28"/>
  <c r="F28"/>
  <c r="G39"/>
  <c r="E39"/>
  <c r="G38" i="1"/>
  <c r="G27"/>
  <c r="F27"/>
  <c r="F33" s="1"/>
  <c r="E38"/>
  <c r="G37" i="77"/>
  <c r="E37"/>
  <c r="C18" l="1"/>
  <c r="E18"/>
  <c r="G18"/>
  <c r="G42" i="57"/>
  <c r="E42"/>
  <c r="G42" i="20"/>
  <c r="E42"/>
  <c r="G43" i="19"/>
  <c r="E43"/>
  <c r="G19" i="78" l="1"/>
  <c r="C19" l="1"/>
  <c r="G39" l="1"/>
  <c r="G37"/>
  <c r="E33"/>
  <c r="M24" s="1"/>
  <c r="H31"/>
  <c r="N23"/>
  <c r="E19"/>
  <c r="E33" i="27"/>
  <c r="E34" i="12"/>
  <c r="E34" i="8"/>
  <c r="J34" s="1"/>
  <c r="G40" i="78" l="1"/>
  <c r="F27"/>
  <c r="F30"/>
  <c r="F32"/>
  <c r="F26"/>
  <c r="F28"/>
  <c r="F24"/>
  <c r="N24"/>
  <c r="G28" s="1"/>
  <c r="C38"/>
  <c r="F25"/>
  <c r="F29"/>
  <c r="E32" i="77"/>
  <c r="N22"/>
  <c r="G40" i="53"/>
  <c r="E41" i="16"/>
  <c r="E41" i="14"/>
  <c r="E41" i="9"/>
  <c r="E41" i="8"/>
  <c r="E41" i="5"/>
  <c r="E41" i="4"/>
  <c r="E41" i="2"/>
  <c r="E40" i="1"/>
  <c r="N27" i="20"/>
  <c r="N23" i="77" l="1"/>
  <c r="G38" s="1"/>
  <c r="G39" s="1"/>
  <c r="C38" i="15"/>
  <c r="G30" i="78"/>
  <c r="H30" s="1"/>
  <c r="G27"/>
  <c r="H27" s="1"/>
  <c r="G29"/>
  <c r="H29" s="1"/>
  <c r="G32"/>
  <c r="H32" s="1"/>
  <c r="G24"/>
  <c r="H24" s="1"/>
  <c r="G25"/>
  <c r="H25" s="1"/>
  <c r="H28"/>
  <c r="G26"/>
  <c r="H26" s="1"/>
  <c r="F33"/>
  <c r="E37"/>
  <c r="C37" s="1"/>
  <c r="M23" i="77"/>
  <c r="C37"/>
  <c r="N27" i="57"/>
  <c r="E44"/>
  <c r="N27" i="19"/>
  <c r="G23" i="77" l="1"/>
  <c r="G29"/>
  <c r="G28"/>
  <c r="G31"/>
  <c r="G27"/>
  <c r="G24"/>
  <c r="G25"/>
  <c r="G26"/>
  <c r="G33" i="78"/>
  <c r="E39"/>
  <c r="C39" s="1"/>
  <c r="H33"/>
  <c r="F31" i="77"/>
  <c r="H31" s="1"/>
  <c r="F28"/>
  <c r="F29"/>
  <c r="H29" s="1"/>
  <c r="F23"/>
  <c r="F26"/>
  <c r="H26" s="1"/>
  <c r="F25"/>
  <c r="H25" s="1"/>
  <c r="F24"/>
  <c r="H24" s="1"/>
  <c r="F27"/>
  <c r="G40" i="39"/>
  <c r="G39" i="23"/>
  <c r="E33" i="62"/>
  <c r="H28" i="77" l="1"/>
  <c r="G32"/>
  <c r="H23"/>
  <c r="H27"/>
  <c r="E39"/>
  <c r="C39" s="1"/>
  <c r="E40" i="78"/>
  <c r="C40" s="1"/>
  <c r="H30" i="77"/>
  <c r="G36"/>
  <c r="F32"/>
  <c r="G43" i="20"/>
  <c r="C38" i="77" l="1"/>
  <c r="H32"/>
  <c r="C36"/>
  <c r="N24" i="17"/>
  <c r="G39" i="25" l="1"/>
  <c r="G40" i="58"/>
  <c r="G39" i="60"/>
  <c r="E34" i="2" l="1"/>
  <c r="E41" i="59" l="1"/>
  <c r="H31" i="64" l="1"/>
  <c r="H31" i="25"/>
  <c r="G38" i="8"/>
  <c r="E41" i="6"/>
  <c r="E44" i="20" l="1"/>
  <c r="E33" i="75"/>
  <c r="E33" i="50"/>
  <c r="N23" i="66"/>
  <c r="N23" i="64"/>
  <c r="N23" i="63"/>
  <c r="N23" i="76"/>
  <c r="N23" i="75"/>
  <c r="N23" i="62" l="1"/>
  <c r="N23" i="60"/>
  <c r="N24" i="59"/>
  <c r="N24" i="58"/>
  <c r="N24" i="56"/>
  <c r="N23" i="55"/>
  <c r="N24" i="54"/>
  <c r="N24" i="53"/>
  <c r="N23" i="52"/>
  <c r="N23" i="51"/>
  <c r="N23" i="50"/>
  <c r="N23" i="48"/>
  <c r="N23" i="46"/>
  <c r="N24" i="44"/>
  <c r="N23" i="43"/>
  <c r="N24" i="41"/>
  <c r="N24" i="39"/>
  <c r="N23" i="37"/>
  <c r="N24" i="35"/>
  <c r="N23" i="34"/>
  <c r="N23" i="33"/>
  <c r="N24" i="32" l="1"/>
  <c r="N23" i="31"/>
  <c r="N23" i="29"/>
  <c r="N23" i="28"/>
  <c r="N23" i="27"/>
  <c r="N23" i="25"/>
  <c r="N23" i="23"/>
  <c r="N23" i="22"/>
  <c r="N23" i="21"/>
  <c r="N23" i="18"/>
  <c r="N24" i="16"/>
  <c r="N23" i="15"/>
  <c r="N24" i="14"/>
  <c r="N23" i="13"/>
  <c r="N24" i="12"/>
  <c r="N24" i="11"/>
  <c r="N23" i="10"/>
  <c r="N24" i="9"/>
  <c r="N24" i="8"/>
  <c r="N23" i="7"/>
  <c r="N24" i="6"/>
  <c r="N24" i="5"/>
  <c r="N24" i="4" l="1"/>
  <c r="O23" i="3"/>
  <c r="N24" i="2"/>
  <c r="N23" i="1"/>
  <c r="E33" i="7" l="1"/>
  <c r="G38" i="10" l="1"/>
  <c r="E41" i="32" l="1"/>
  <c r="G37" i="60" l="1"/>
  <c r="E41" i="56"/>
  <c r="E40" i="55"/>
  <c r="E41" i="54"/>
  <c r="E41" i="53"/>
  <c r="E19" i="55"/>
  <c r="E41" i="17"/>
  <c r="C38" i="60" l="1"/>
  <c r="E41" i="12"/>
  <c r="E41" i="11"/>
  <c r="E45" i="19" l="1"/>
  <c r="C45" s="1"/>
  <c r="G39" i="22" l="1"/>
  <c r="G38" i="39"/>
  <c r="E41" i="58"/>
  <c r="G39" i="48"/>
  <c r="E41" i="41"/>
  <c r="G44" i="19"/>
  <c r="G40" i="32" l="1"/>
  <c r="G37" i="18" l="1"/>
  <c r="G39" i="21"/>
  <c r="G38" i="58" l="1"/>
  <c r="G44" i="57"/>
  <c r="G43"/>
  <c r="G41"/>
  <c r="E37"/>
  <c r="H35"/>
  <c r="G23"/>
  <c r="E23"/>
  <c r="G44" i="20"/>
  <c r="C44" s="1"/>
  <c r="E37"/>
  <c r="G23"/>
  <c r="E23"/>
  <c r="E38" i="19"/>
  <c r="J38" s="1"/>
  <c r="G23"/>
  <c r="E23"/>
  <c r="M28" i="20" l="1"/>
  <c r="G41"/>
  <c r="M28" i="19"/>
  <c r="M28" i="57"/>
  <c r="C23"/>
  <c r="C23" i="20"/>
  <c r="G45" i="57"/>
  <c r="C44"/>
  <c r="C23" i="19"/>
  <c r="C42" i="57"/>
  <c r="F29" l="1"/>
  <c r="H29" s="1"/>
  <c r="N28"/>
  <c r="G29" s="1"/>
  <c r="N28" i="20"/>
  <c r="F33"/>
  <c r="F30"/>
  <c r="F31"/>
  <c r="F28"/>
  <c r="F36"/>
  <c r="F29"/>
  <c r="F32"/>
  <c r="F34"/>
  <c r="N28" i="19"/>
  <c r="F37"/>
  <c r="F32"/>
  <c r="F28"/>
  <c r="F33"/>
  <c r="F29"/>
  <c r="F30"/>
  <c r="F36"/>
  <c r="F31"/>
  <c r="F34"/>
  <c r="G28" i="57"/>
  <c r="F34"/>
  <c r="F36"/>
  <c r="G42" i="19"/>
  <c r="F33" i="57"/>
  <c r="F31"/>
  <c r="F32"/>
  <c r="F30"/>
  <c r="F28"/>
  <c r="H35" i="20"/>
  <c r="G31" i="57" l="1"/>
  <c r="H31" s="1"/>
  <c r="G34"/>
  <c r="H34" s="1"/>
  <c r="G32"/>
  <c r="G33"/>
  <c r="H33" s="1"/>
  <c r="G36"/>
  <c r="H36" s="1"/>
  <c r="G30"/>
  <c r="G31" i="20"/>
  <c r="H31" s="1"/>
  <c r="G36"/>
  <c r="G29"/>
  <c r="H29" s="1"/>
  <c r="G32"/>
  <c r="H32" s="1"/>
  <c r="G30"/>
  <c r="H30" s="1"/>
  <c r="G28"/>
  <c r="H28" s="1"/>
  <c r="G33"/>
  <c r="H33" s="1"/>
  <c r="G34"/>
  <c r="H34" s="1"/>
  <c r="G34" i="19"/>
  <c r="H34" s="1"/>
  <c r="G32"/>
  <c r="H32" s="1"/>
  <c r="G33"/>
  <c r="H33" s="1"/>
  <c r="G30"/>
  <c r="G31"/>
  <c r="H31" s="1"/>
  <c r="G28"/>
  <c r="H28" s="1"/>
  <c r="G29"/>
  <c r="G37"/>
  <c r="H37" s="1"/>
  <c r="G36"/>
  <c r="H36" s="1"/>
  <c r="H36" i="20"/>
  <c r="H30" i="19"/>
  <c r="H32" i="57"/>
  <c r="G46" i="19"/>
  <c r="G45" i="20"/>
  <c r="E41" i="57"/>
  <c r="C41" s="1"/>
  <c r="F37"/>
  <c r="E41" i="20"/>
  <c r="C41" s="1"/>
  <c r="H35" i="19"/>
  <c r="H28" i="57"/>
  <c r="C42" i="20"/>
  <c r="C43" i="19"/>
  <c r="F37" i="20"/>
  <c r="E43" i="57" l="1"/>
  <c r="C43" s="1"/>
  <c r="G37"/>
  <c r="H30"/>
  <c r="H37" s="1"/>
  <c r="E43" i="20"/>
  <c r="E45" s="1"/>
  <c r="C45" s="1"/>
  <c r="G37"/>
  <c r="G38" i="19"/>
  <c r="H29"/>
  <c r="H38" s="1"/>
  <c r="E44"/>
  <c r="E46" s="1"/>
  <c r="C46" s="1"/>
  <c r="H37" i="20"/>
  <c r="E42" i="19"/>
  <c r="C42" s="1"/>
  <c r="F38"/>
  <c r="E45" i="57" l="1"/>
  <c r="C45" s="1"/>
  <c r="C43" i="20"/>
  <c r="C44" i="19"/>
  <c r="E41" i="44"/>
  <c r="E41" i="39"/>
  <c r="E41" i="35"/>
  <c r="E20" i="11"/>
  <c r="G39" i="66" l="1"/>
  <c r="G37"/>
  <c r="G19"/>
  <c r="E19"/>
  <c r="G39" i="64"/>
  <c r="G37"/>
  <c r="G19"/>
  <c r="E19"/>
  <c r="G39" i="63"/>
  <c r="G37"/>
  <c r="G19"/>
  <c r="E19"/>
  <c r="G39" i="76"/>
  <c r="G37"/>
  <c r="G19"/>
  <c r="E19"/>
  <c r="G39" i="75"/>
  <c r="G37"/>
  <c r="G19"/>
  <c r="E19"/>
  <c r="G39" i="62"/>
  <c r="G37"/>
  <c r="G19"/>
  <c r="E19"/>
  <c r="G19" i="60"/>
  <c r="E19"/>
  <c r="G41" i="59"/>
  <c r="G40"/>
  <c r="G38"/>
  <c r="G20"/>
  <c r="E20"/>
  <c r="G41" i="58"/>
  <c r="C39"/>
  <c r="G20"/>
  <c r="E20"/>
  <c r="G41" i="56"/>
  <c r="C41" s="1"/>
  <c r="G40"/>
  <c r="G38"/>
  <c r="G20"/>
  <c r="E20"/>
  <c r="G40" i="55"/>
  <c r="G39"/>
  <c r="G41" s="1"/>
  <c r="G37"/>
  <c r="G19"/>
  <c r="G41" i="54"/>
  <c r="C41" s="1"/>
  <c r="G40"/>
  <c r="C39"/>
  <c r="G38"/>
  <c r="G20"/>
  <c r="E20"/>
  <c r="G41" i="53"/>
  <c r="G38"/>
  <c r="C19" i="55" l="1"/>
  <c r="C19" i="66"/>
  <c r="C19" i="75"/>
  <c r="C38"/>
  <c r="C19" i="62"/>
  <c r="C20" i="59"/>
  <c r="G42"/>
  <c r="C41" i="58"/>
  <c r="C20"/>
  <c r="C40" i="55"/>
  <c r="C38"/>
  <c r="C20" i="54"/>
  <c r="C39" i="59"/>
  <c r="C19" i="64"/>
  <c r="C39" i="53"/>
  <c r="C41" i="59"/>
  <c r="C38" i="62"/>
  <c r="C19" i="63"/>
  <c r="C38" i="64"/>
  <c r="C38" i="66"/>
  <c r="G40" i="63"/>
  <c r="C38"/>
  <c r="G42" i="56"/>
  <c r="C39"/>
  <c r="C19" i="76"/>
  <c r="C41" i="53"/>
  <c r="G42" i="54"/>
  <c r="C20" i="56"/>
  <c r="G42" i="58"/>
  <c r="C38" i="76"/>
  <c r="C19" i="60"/>
  <c r="G42" i="53"/>
  <c r="G40" i="66"/>
  <c r="G40" i="64"/>
  <c r="G40" i="76"/>
  <c r="G40" i="75"/>
  <c r="G40" i="62"/>
  <c r="G40" i="60"/>
  <c r="G20" i="53" l="1"/>
  <c r="E20"/>
  <c r="G39" i="52"/>
  <c r="G40" s="1"/>
  <c r="G37"/>
  <c r="G19"/>
  <c r="E19"/>
  <c r="G39" i="51"/>
  <c r="G37"/>
  <c r="G19"/>
  <c r="E19"/>
  <c r="G39" i="50"/>
  <c r="C38"/>
  <c r="G37"/>
  <c r="G19"/>
  <c r="E19"/>
  <c r="G37" i="48"/>
  <c r="G19"/>
  <c r="E19"/>
  <c r="G39" i="46"/>
  <c r="C38"/>
  <c r="G37"/>
  <c r="G19"/>
  <c r="E19"/>
  <c r="G41" i="44"/>
  <c r="G40"/>
  <c r="G38"/>
  <c r="G20"/>
  <c r="E20"/>
  <c r="C38" i="43"/>
  <c r="G37"/>
  <c r="G19"/>
  <c r="E19"/>
  <c r="G41" i="41"/>
  <c r="G38"/>
  <c r="G20"/>
  <c r="E20"/>
  <c r="C19" i="52" l="1"/>
  <c r="C38"/>
  <c r="C19" i="50"/>
  <c r="C41" i="44"/>
  <c r="C41" i="41"/>
  <c r="C20" i="44"/>
  <c r="C19" i="51"/>
  <c r="C19" i="43"/>
  <c r="C39" i="44"/>
  <c r="C19" i="46"/>
  <c r="C19" i="48"/>
  <c r="C20" i="41"/>
  <c r="G42" i="44"/>
  <c r="C38" i="51"/>
  <c r="C20" i="53"/>
  <c r="C38" i="48"/>
  <c r="G40" i="51"/>
  <c r="G40" i="50"/>
  <c r="G40" i="48"/>
  <c r="G40" i="46"/>
  <c r="C39" i="41"/>
  <c r="G41" i="39" l="1"/>
  <c r="G20"/>
  <c r="E20"/>
  <c r="G39" i="37"/>
  <c r="G19"/>
  <c r="E19"/>
  <c r="G41" i="35"/>
  <c r="G40"/>
  <c r="G38"/>
  <c r="G20"/>
  <c r="E20"/>
  <c r="G39" i="34"/>
  <c r="G19"/>
  <c r="E19"/>
  <c r="G39" i="33"/>
  <c r="G37"/>
  <c r="G19"/>
  <c r="E19"/>
  <c r="C41" i="39" l="1"/>
  <c r="C41" i="35"/>
  <c r="C19" i="37"/>
  <c r="C20" i="35"/>
  <c r="C39"/>
  <c r="C38" i="33"/>
  <c r="C20" i="39"/>
  <c r="C19" i="34"/>
  <c r="C19" i="33"/>
  <c r="G42" i="35"/>
  <c r="G40" i="33"/>
  <c r="G41" i="32"/>
  <c r="C41" s="1"/>
  <c r="G38"/>
  <c r="G20"/>
  <c r="E20"/>
  <c r="G39" i="31"/>
  <c r="G40" s="1"/>
  <c r="G37"/>
  <c r="G19"/>
  <c r="E19"/>
  <c r="G39" i="29"/>
  <c r="G37"/>
  <c r="G19"/>
  <c r="E19"/>
  <c r="G39" i="28"/>
  <c r="G37"/>
  <c r="G19"/>
  <c r="E19"/>
  <c r="G39" i="27"/>
  <c r="G19"/>
  <c r="E19"/>
  <c r="G37" i="25"/>
  <c r="G19"/>
  <c r="E19"/>
  <c r="G37" i="23"/>
  <c r="G19"/>
  <c r="E19"/>
  <c r="G37" i="22"/>
  <c r="G19"/>
  <c r="E19"/>
  <c r="C38" i="21"/>
  <c r="C19" i="31" l="1"/>
  <c r="C19" i="28"/>
  <c r="C19" i="27"/>
  <c r="C38"/>
  <c r="C19" i="25"/>
  <c r="C19" i="23"/>
  <c r="C38" i="31"/>
  <c r="C38" i="23"/>
  <c r="C38" i="28"/>
  <c r="C20" i="32"/>
  <c r="C38" i="22"/>
  <c r="C38" i="25"/>
  <c r="C19" i="29"/>
  <c r="G42" i="32"/>
  <c r="C38" i="29"/>
  <c r="C19" i="22"/>
  <c r="C39" i="32"/>
  <c r="G40" i="29"/>
  <c r="G40" i="28"/>
  <c r="G40" i="27"/>
  <c r="G40" i="25"/>
  <c r="G40" i="23"/>
  <c r="G40" i="22"/>
  <c r="G40" i="21"/>
  <c r="G19"/>
  <c r="E19"/>
  <c r="G39" i="18"/>
  <c r="G19"/>
  <c r="E19"/>
  <c r="G41" i="17"/>
  <c r="G40"/>
  <c r="G20"/>
  <c r="E20"/>
  <c r="G41" i="16"/>
  <c r="G40"/>
  <c r="G38"/>
  <c r="G20"/>
  <c r="E20"/>
  <c r="G39" i="15"/>
  <c r="G40" s="1"/>
  <c r="G37"/>
  <c r="G19"/>
  <c r="E19"/>
  <c r="G41" i="14"/>
  <c r="C41" s="1"/>
  <c r="G40"/>
  <c r="G38"/>
  <c r="G20"/>
  <c r="E20"/>
  <c r="G39" i="13"/>
  <c r="C38"/>
  <c r="G37"/>
  <c r="G19"/>
  <c r="E19"/>
  <c r="G41" i="12"/>
  <c r="G40"/>
  <c r="C39"/>
  <c r="G38"/>
  <c r="G20"/>
  <c r="E20"/>
  <c r="G41" i="11"/>
  <c r="G40"/>
  <c r="G38"/>
  <c r="G20"/>
  <c r="G39" i="10"/>
  <c r="G37"/>
  <c r="G19"/>
  <c r="E19"/>
  <c r="G41" i="9"/>
  <c r="G40"/>
  <c r="C39"/>
  <c r="G38"/>
  <c r="G20"/>
  <c r="G41" i="8"/>
  <c r="G40"/>
  <c r="G20"/>
  <c r="G39" i="7"/>
  <c r="G37"/>
  <c r="G19"/>
  <c r="G41" i="6"/>
  <c r="G40"/>
  <c r="G38"/>
  <c r="G20"/>
  <c r="E20"/>
  <c r="G41" i="5"/>
  <c r="G40"/>
  <c r="G38"/>
  <c r="G20"/>
  <c r="E20"/>
  <c r="G41" i="4"/>
  <c r="G40"/>
  <c r="G38"/>
  <c r="G20"/>
  <c r="E19" i="3"/>
  <c r="G39"/>
  <c r="G19"/>
  <c r="C19" i="10" l="1"/>
  <c r="C20" i="17"/>
  <c r="C41" i="9"/>
  <c r="C41" i="6"/>
  <c r="C41" i="5"/>
  <c r="C41" i="4"/>
  <c r="C38" i="18"/>
  <c r="G42" i="17"/>
  <c r="C20" i="14"/>
  <c r="C39"/>
  <c r="C20" i="12"/>
  <c r="C38" i="10"/>
  <c r="C41" i="8"/>
  <c r="C20" i="11"/>
  <c r="C19" i="18"/>
  <c r="C19" i="21"/>
  <c r="C20" i="5"/>
  <c r="C20" i="6"/>
  <c r="G42" i="9"/>
  <c r="C39" i="11"/>
  <c r="C19" i="15"/>
  <c r="C41" i="12"/>
  <c r="C39" i="5"/>
  <c r="C39" i="6"/>
  <c r="G40" i="7"/>
  <c r="C41" i="11"/>
  <c r="C41" i="17"/>
  <c r="C20" i="16"/>
  <c r="C41"/>
  <c r="G42"/>
  <c r="G42" i="11"/>
  <c r="G42" i="8"/>
  <c r="C38" i="7"/>
  <c r="G42" i="6"/>
  <c r="G42" i="4"/>
  <c r="G40" i="18"/>
  <c r="C39" i="17"/>
  <c r="C39" i="16"/>
  <c r="G42" i="14"/>
  <c r="G40" i="13"/>
  <c r="C19"/>
  <c r="G42" i="12"/>
  <c r="G40" i="10"/>
  <c r="C39" i="8"/>
  <c r="G42" i="5"/>
  <c r="C39" i="4"/>
  <c r="G40" i="3"/>
  <c r="C19"/>
  <c r="C38"/>
  <c r="G38" i="2"/>
  <c r="G41"/>
  <c r="C41" s="1"/>
  <c r="G40"/>
  <c r="G42" s="1"/>
  <c r="C39"/>
  <c r="G40" i="1"/>
  <c r="C40" s="1"/>
  <c r="H31"/>
  <c r="G39"/>
  <c r="G37"/>
  <c r="G41" l="1"/>
  <c r="G37" i="27"/>
  <c r="G37" i="37"/>
  <c r="G37" i="34" l="1"/>
  <c r="G38" i="17"/>
  <c r="H31" i="66" l="1"/>
  <c r="H31" i="63"/>
  <c r="H31" i="76"/>
  <c r="H31" i="75"/>
  <c r="H31" i="62"/>
  <c r="H31" i="60"/>
  <c r="H32" i="59"/>
  <c r="H32" i="58"/>
  <c r="H32" i="56"/>
  <c r="H31" i="55"/>
  <c r="H32" i="54" l="1"/>
  <c r="H32" i="53"/>
  <c r="H31" i="52"/>
  <c r="H31" i="51"/>
  <c r="H31" i="50"/>
  <c r="H31" i="48"/>
  <c r="H31" i="46" l="1"/>
  <c r="H32" i="44"/>
  <c r="H32" i="39"/>
  <c r="H31" i="37"/>
  <c r="H32" i="41" l="1"/>
  <c r="G40"/>
  <c r="G42" s="1"/>
  <c r="H32" i="35"/>
  <c r="H31" i="34"/>
  <c r="H31" i="33"/>
  <c r="H32" i="32" l="1"/>
  <c r="H31" i="31"/>
  <c r="H31" i="29"/>
  <c r="H31" i="28"/>
  <c r="H31" i="27"/>
  <c r="H31" i="23"/>
  <c r="H31" i="22"/>
  <c r="H31" i="21"/>
  <c r="H31" i="18" l="1"/>
  <c r="H32" i="17"/>
  <c r="H32" i="16"/>
  <c r="H31" i="15"/>
  <c r="H32" i="14"/>
  <c r="H31" i="13"/>
  <c r="H32" i="12"/>
  <c r="H32" i="11"/>
  <c r="H31" i="10" l="1"/>
  <c r="H32" i="9"/>
  <c r="H32" i="8"/>
  <c r="H31" i="7"/>
  <c r="H32" i="6"/>
  <c r="H32" i="5"/>
  <c r="H32" i="4" l="1"/>
  <c r="H32" i="2"/>
  <c r="H31" i="3" l="1"/>
  <c r="G37"/>
  <c r="E33" i="66" l="1"/>
  <c r="E33" i="63"/>
  <c r="E33" i="76"/>
  <c r="N24" i="66" l="1"/>
  <c r="G27" s="1"/>
  <c r="M24"/>
  <c r="F27" s="1"/>
  <c r="M24" i="63"/>
  <c r="F27" s="1"/>
  <c r="N24"/>
  <c r="G27" s="1"/>
  <c r="M24" i="76"/>
  <c r="N24"/>
  <c r="M24" i="75"/>
  <c r="F27" s="1"/>
  <c r="N24"/>
  <c r="G27" s="1"/>
  <c r="F32" i="66" l="1"/>
  <c r="G30" i="63"/>
  <c r="G28"/>
  <c r="G26"/>
  <c r="G24"/>
  <c r="G32"/>
  <c r="G29"/>
  <c r="G25"/>
  <c r="G29" i="66"/>
  <c r="G30"/>
  <c r="G28"/>
  <c r="G26"/>
  <c r="G24"/>
  <c r="G32"/>
  <c r="G25"/>
  <c r="F30" i="63"/>
  <c r="F28"/>
  <c r="F26"/>
  <c r="F24"/>
  <c r="F32"/>
  <c r="F29"/>
  <c r="F25"/>
  <c r="F30" i="66"/>
  <c r="F28"/>
  <c r="F26"/>
  <c r="F24"/>
  <c r="F29"/>
  <c r="F25"/>
  <c r="G25" i="76"/>
  <c r="G30"/>
  <c r="G28"/>
  <c r="G26"/>
  <c r="G24"/>
  <c r="G32"/>
  <c r="G29"/>
  <c r="G27"/>
  <c r="G30" i="75"/>
  <c r="G28"/>
  <c r="G26"/>
  <c r="G24"/>
  <c r="G32"/>
  <c r="G29"/>
  <c r="G25"/>
  <c r="F30" i="76"/>
  <c r="F28"/>
  <c r="F26"/>
  <c r="F24"/>
  <c r="F32"/>
  <c r="F29"/>
  <c r="F27"/>
  <c r="F25"/>
  <c r="F30" i="75"/>
  <c r="F28"/>
  <c r="F26"/>
  <c r="F24"/>
  <c r="F25"/>
  <c r="F32"/>
  <c r="F29"/>
  <c r="H32" i="66" l="1"/>
  <c r="H32" i="76"/>
  <c r="H32" i="75"/>
  <c r="H30"/>
  <c r="H28"/>
  <c r="H25" i="63"/>
  <c r="H30" i="76"/>
  <c r="H27"/>
  <c r="E39"/>
  <c r="E40" s="1"/>
  <c r="C40" s="1"/>
  <c r="H30" i="63"/>
  <c r="G33" i="76"/>
  <c r="H25"/>
  <c r="H28"/>
  <c r="E39" i="75"/>
  <c r="C39" s="1"/>
  <c r="H27"/>
  <c r="H27" i="66"/>
  <c r="E39"/>
  <c r="C39" s="1"/>
  <c r="E37"/>
  <c r="C37" s="1"/>
  <c r="H25"/>
  <c r="H28"/>
  <c r="H30"/>
  <c r="E39" i="63"/>
  <c r="E40" s="1"/>
  <c r="C40" s="1"/>
  <c r="E37"/>
  <c r="C37" s="1"/>
  <c r="H28"/>
  <c r="H32"/>
  <c r="E37" i="76"/>
  <c r="C37" s="1"/>
  <c r="E37" i="75"/>
  <c r="C37" s="1"/>
  <c r="G33" i="63"/>
  <c r="H27"/>
  <c r="H29" i="75"/>
  <c r="G33" i="66"/>
  <c r="H29"/>
  <c r="H26"/>
  <c r="H29" i="63"/>
  <c r="H24"/>
  <c r="H26"/>
  <c r="H29" i="76"/>
  <c r="H26"/>
  <c r="G33" i="75"/>
  <c r="H26"/>
  <c r="H24"/>
  <c r="H25"/>
  <c r="F33"/>
  <c r="H24" i="66"/>
  <c r="F33"/>
  <c r="H24" i="76"/>
  <c r="F33"/>
  <c r="F33" i="63"/>
  <c r="E33" i="60"/>
  <c r="E40" i="75" l="1"/>
  <c r="C40" s="1"/>
  <c r="E40" i="66"/>
  <c r="C40" s="1"/>
  <c r="N24" i="60"/>
  <c r="G27" s="1"/>
  <c r="M24"/>
  <c r="C39" i="63"/>
  <c r="H33"/>
  <c r="C39" i="76"/>
  <c r="H33" i="75"/>
  <c r="H33" i="66"/>
  <c r="H33" i="76"/>
  <c r="E34" i="59"/>
  <c r="N25" l="1"/>
  <c r="G28" s="1"/>
  <c r="M25"/>
  <c r="F28" s="1"/>
  <c r="G29" i="60"/>
  <c r="G25"/>
  <c r="G30"/>
  <c r="G28"/>
  <c r="G26"/>
  <c r="G24"/>
  <c r="G32"/>
  <c r="F30"/>
  <c r="F28"/>
  <c r="F26"/>
  <c r="F24"/>
  <c r="F32"/>
  <c r="F29"/>
  <c r="F25"/>
  <c r="H25" l="1"/>
  <c r="E39"/>
  <c r="C39" s="1"/>
  <c r="E37"/>
  <c r="C37" s="1"/>
  <c r="G33"/>
  <c r="H28"/>
  <c r="H32"/>
  <c r="H26"/>
  <c r="H27"/>
  <c r="H29"/>
  <c r="F31" i="59"/>
  <c r="F29"/>
  <c r="F27"/>
  <c r="F25"/>
  <c r="F33"/>
  <c r="F30"/>
  <c r="F26"/>
  <c r="G31"/>
  <c r="G29"/>
  <c r="G27"/>
  <c r="G25"/>
  <c r="G33"/>
  <c r="G30"/>
  <c r="G26"/>
  <c r="F33" i="60"/>
  <c r="H24"/>
  <c r="H30"/>
  <c r="H31" i="59" l="1"/>
  <c r="H29"/>
  <c r="H27"/>
  <c r="E40"/>
  <c r="C40" s="1"/>
  <c r="H28"/>
  <c r="E38"/>
  <c r="C38" s="1"/>
  <c r="H30"/>
  <c r="H25"/>
  <c r="H33"/>
  <c r="H26"/>
  <c r="G34"/>
  <c r="H33" i="60"/>
  <c r="E40"/>
  <c r="C40" s="1"/>
  <c r="F34" i="59"/>
  <c r="H34" l="1"/>
  <c r="E42"/>
  <c r="C42" s="1"/>
  <c r="E34" i="56"/>
  <c r="M25" i="58" l="1"/>
  <c r="F28" s="1"/>
  <c r="N25"/>
  <c r="G28" s="1"/>
  <c r="N25" i="56"/>
  <c r="G28" s="1"/>
  <c r="M25"/>
  <c r="F28" s="1"/>
  <c r="E33" i="55"/>
  <c r="E34" i="54"/>
  <c r="E34" i="53"/>
  <c r="E33" i="52"/>
  <c r="E33" i="51"/>
  <c r="N24" i="55" l="1"/>
  <c r="G27" s="1"/>
  <c r="M24"/>
  <c r="F27" s="1"/>
  <c r="N25" i="54"/>
  <c r="G28" s="1"/>
  <c r="M25"/>
  <c r="F28" s="1"/>
  <c r="M25" i="53"/>
  <c r="F28" s="1"/>
  <c r="N25"/>
  <c r="G28" s="1"/>
  <c r="N24" i="52"/>
  <c r="M24"/>
  <c r="N24" i="51"/>
  <c r="M24"/>
  <c r="N24" i="50"/>
  <c r="M24"/>
  <c r="G33" i="58"/>
  <c r="G26"/>
  <c r="G31"/>
  <c r="G29"/>
  <c r="G27"/>
  <c r="G25"/>
  <c r="G30"/>
  <c r="F31"/>
  <c r="F29"/>
  <c r="F27"/>
  <c r="F25"/>
  <c r="F33"/>
  <c r="F30"/>
  <c r="F26"/>
  <c r="G30" i="56"/>
  <c r="G26"/>
  <c r="G31"/>
  <c r="G29"/>
  <c r="G27"/>
  <c r="G25"/>
  <c r="G33"/>
  <c r="F31"/>
  <c r="F29"/>
  <c r="F27"/>
  <c r="F25"/>
  <c r="F33"/>
  <c r="F30"/>
  <c r="F26"/>
  <c r="H33" i="58" l="1"/>
  <c r="H26"/>
  <c r="E38" i="56"/>
  <c r="C38" s="1"/>
  <c r="E40" i="58"/>
  <c r="C40" s="1"/>
  <c r="E38"/>
  <c r="C38" s="1"/>
  <c r="E40" i="56"/>
  <c r="E42" s="1"/>
  <c r="C42" s="1"/>
  <c r="H33"/>
  <c r="H31"/>
  <c r="H31" i="58"/>
  <c r="H30"/>
  <c r="H30" i="56"/>
  <c r="H25"/>
  <c r="H25" i="58"/>
  <c r="H26" i="56"/>
  <c r="H29"/>
  <c r="H28"/>
  <c r="G34" i="58"/>
  <c r="H27"/>
  <c r="H27" i="56"/>
  <c r="F30" i="50"/>
  <c r="F28"/>
  <c r="F26"/>
  <c r="F24"/>
  <c r="F29"/>
  <c r="F32"/>
  <c r="F27"/>
  <c r="F25"/>
  <c r="F30" i="55"/>
  <c r="F28"/>
  <c r="F26"/>
  <c r="F24"/>
  <c r="F32"/>
  <c r="F25"/>
  <c r="F29"/>
  <c r="F30" i="52"/>
  <c r="F28"/>
  <c r="F26"/>
  <c r="F24"/>
  <c r="F32"/>
  <c r="F29"/>
  <c r="F27"/>
  <c r="F25"/>
  <c r="G31" i="53"/>
  <c r="G29"/>
  <c r="G27"/>
  <c r="G25"/>
  <c r="G26"/>
  <c r="G33"/>
  <c r="G30"/>
  <c r="G31" i="54"/>
  <c r="G29"/>
  <c r="G27"/>
  <c r="G25"/>
  <c r="G33"/>
  <c r="G30"/>
  <c r="G26"/>
  <c r="G30" i="52"/>
  <c r="G28"/>
  <c r="G26"/>
  <c r="G24"/>
  <c r="G25"/>
  <c r="G27"/>
  <c r="G29"/>
  <c r="G32"/>
  <c r="G30" i="51"/>
  <c r="G28"/>
  <c r="G26"/>
  <c r="G24"/>
  <c r="G25"/>
  <c r="G27"/>
  <c r="G29"/>
  <c r="G32"/>
  <c r="F30"/>
  <c r="F28"/>
  <c r="F26"/>
  <c r="F24"/>
  <c r="F32"/>
  <c r="F29"/>
  <c r="F27"/>
  <c r="F25"/>
  <c r="F31" i="53"/>
  <c r="F29"/>
  <c r="F27"/>
  <c r="F25"/>
  <c r="F30"/>
  <c r="F33"/>
  <c r="H28"/>
  <c r="F26"/>
  <c r="G30" i="50"/>
  <c r="G28"/>
  <c r="G26"/>
  <c r="G24"/>
  <c r="G25"/>
  <c r="G27"/>
  <c r="G29"/>
  <c r="G32"/>
  <c r="G29" i="55"/>
  <c r="G25"/>
  <c r="G30"/>
  <c r="G28"/>
  <c r="G26"/>
  <c r="G24"/>
  <c r="G32"/>
  <c r="F31" i="54"/>
  <c r="F29"/>
  <c r="F27"/>
  <c r="F25"/>
  <c r="F30"/>
  <c r="F26"/>
  <c r="F33"/>
  <c r="G34" i="56"/>
  <c r="H28" i="58"/>
  <c r="H29"/>
  <c r="F34"/>
  <c r="F34" i="56"/>
  <c r="H26" i="51" l="1"/>
  <c r="H30"/>
  <c r="H29" i="54"/>
  <c r="E39" i="51"/>
  <c r="H33" i="53"/>
  <c r="H27"/>
  <c r="H26" i="50"/>
  <c r="E42" i="58"/>
  <c r="C42" s="1"/>
  <c r="H26" i="52"/>
  <c r="H25" i="55"/>
  <c r="E38" i="54"/>
  <c r="C38" s="1"/>
  <c r="H31" i="53"/>
  <c r="H29"/>
  <c r="E38"/>
  <c r="C38" s="1"/>
  <c r="H25" i="51"/>
  <c r="E39" i="50"/>
  <c r="E40" s="1"/>
  <c r="C40" s="1"/>
  <c r="E39" i="55"/>
  <c r="E37"/>
  <c r="C37" s="1"/>
  <c r="H30"/>
  <c r="E40" i="54"/>
  <c r="E42" s="1"/>
  <c r="C42" s="1"/>
  <c r="H25"/>
  <c r="E40" i="53"/>
  <c r="E42" s="1"/>
  <c r="E39" i="52"/>
  <c r="C39" s="1"/>
  <c r="E37"/>
  <c r="C37" s="1"/>
  <c r="H25"/>
  <c r="E37" i="51"/>
  <c r="C37" s="1"/>
  <c r="E37" i="50"/>
  <c r="C37" s="1"/>
  <c r="H24"/>
  <c r="H29" i="55"/>
  <c r="H26" i="54"/>
  <c r="H29" i="51"/>
  <c r="H32"/>
  <c r="H26" i="53"/>
  <c r="H25" i="50"/>
  <c r="H33" i="54"/>
  <c r="H29" i="52"/>
  <c r="H27" i="51"/>
  <c r="H32" i="50"/>
  <c r="H34" i="56"/>
  <c r="C40"/>
  <c r="H27" i="55"/>
  <c r="G34" i="53"/>
  <c r="H30"/>
  <c r="H28" i="52"/>
  <c r="H27"/>
  <c r="H28" i="51"/>
  <c r="H28" i="50"/>
  <c r="H27"/>
  <c r="H28" i="55"/>
  <c r="H27" i="54"/>
  <c r="H24" i="52"/>
  <c r="G33" i="50"/>
  <c r="H30" i="54"/>
  <c r="H31"/>
  <c r="H26" i="55"/>
  <c r="G33" i="52"/>
  <c r="G34" i="54"/>
  <c r="H28"/>
  <c r="H32" i="52"/>
  <c r="H30"/>
  <c r="H32" i="55"/>
  <c r="H29" i="50"/>
  <c r="H30"/>
  <c r="H34" i="58"/>
  <c r="F34" i="54"/>
  <c r="F33" i="52"/>
  <c r="H24" i="55"/>
  <c r="F33"/>
  <c r="G33"/>
  <c r="H25" i="53"/>
  <c r="H24" i="51"/>
  <c r="F33"/>
  <c r="G33"/>
  <c r="F33" i="50"/>
  <c r="F34" i="53"/>
  <c r="H33" i="51" l="1"/>
  <c r="C40" i="53"/>
  <c r="E40" i="52"/>
  <c r="C40" s="1"/>
  <c r="C39" i="50"/>
  <c r="H33"/>
  <c r="C40" i="54"/>
  <c r="H34"/>
  <c r="C42" i="53"/>
  <c r="H34"/>
  <c r="H33" i="52"/>
  <c r="H33" i="55"/>
  <c r="C39"/>
  <c r="E41"/>
  <c r="C41" s="1"/>
  <c r="C39" i="51"/>
  <c r="E40"/>
  <c r="C40" s="1"/>
  <c r="E33" i="48"/>
  <c r="N24" l="1"/>
  <c r="G27" s="1"/>
  <c r="M24"/>
  <c r="F27" s="1"/>
  <c r="G28" l="1"/>
  <c r="F26"/>
  <c r="G30"/>
  <c r="G32"/>
  <c r="F24"/>
  <c r="G25"/>
  <c r="F30"/>
  <c r="F32"/>
  <c r="F25"/>
  <c r="F28"/>
  <c r="G24"/>
  <c r="F29"/>
  <c r="G29"/>
  <c r="G26"/>
  <c r="H28" l="1"/>
  <c r="H27"/>
  <c r="H30"/>
  <c r="H32"/>
  <c r="H26"/>
  <c r="H29"/>
  <c r="H24"/>
  <c r="F33"/>
  <c r="H25"/>
  <c r="E39"/>
  <c r="E40" s="1"/>
  <c r="C40" s="1"/>
  <c r="G33"/>
  <c r="E37"/>
  <c r="C37" s="1"/>
  <c r="H33" l="1"/>
  <c r="C39"/>
  <c r="E33" i="46"/>
  <c r="E34" i="44"/>
  <c r="E33" i="43"/>
  <c r="E34" i="41"/>
  <c r="M24" i="43" l="1"/>
  <c r="N24"/>
  <c r="N25" i="44"/>
  <c r="G28" s="1"/>
  <c r="M25"/>
  <c r="F28" s="1"/>
  <c r="M25" i="41"/>
  <c r="F28" s="1"/>
  <c r="N25"/>
  <c r="G28" s="1"/>
  <c r="N24" i="46"/>
  <c r="G27" s="1"/>
  <c r="M24"/>
  <c r="F27" s="1"/>
  <c r="E34" i="39"/>
  <c r="E33" i="37"/>
  <c r="O24" i="43" l="1"/>
  <c r="G27"/>
  <c r="G24"/>
  <c r="G28"/>
  <c r="G29"/>
  <c r="G30"/>
  <c r="G25"/>
  <c r="G32"/>
  <c r="G26"/>
  <c r="F30"/>
  <c r="F26"/>
  <c r="F25"/>
  <c r="F32"/>
  <c r="F27"/>
  <c r="F28"/>
  <c r="F24"/>
  <c r="F29"/>
  <c r="F33" i="41"/>
  <c r="F33" i="44"/>
  <c r="M24" i="37"/>
  <c r="F27" s="1"/>
  <c r="N24"/>
  <c r="G27" s="1"/>
  <c r="M25" i="39"/>
  <c r="N25"/>
  <c r="F31" i="41"/>
  <c r="F29"/>
  <c r="F27"/>
  <c r="F25"/>
  <c r="F30"/>
  <c r="F26"/>
  <c r="G31" i="44"/>
  <c r="G29"/>
  <c r="G27"/>
  <c r="G25"/>
  <c r="G26"/>
  <c r="G33"/>
  <c r="G30"/>
  <c r="F31"/>
  <c r="F29"/>
  <c r="F27"/>
  <c r="F25"/>
  <c r="F30"/>
  <c r="F26"/>
  <c r="G31" i="41"/>
  <c r="G29"/>
  <c r="G27"/>
  <c r="G25"/>
  <c r="G26"/>
  <c r="G30"/>
  <c r="G33"/>
  <c r="G32" i="46"/>
  <c r="G30"/>
  <c r="G29"/>
  <c r="G28"/>
  <c r="G26"/>
  <c r="G25"/>
  <c r="G24"/>
  <c r="F32"/>
  <c r="F30"/>
  <c r="F29"/>
  <c r="F28"/>
  <c r="F26"/>
  <c r="F25"/>
  <c r="F24"/>
  <c r="H31" i="43"/>
  <c r="G39"/>
  <c r="G40" s="1"/>
  <c r="F31" i="39" l="1"/>
  <c r="F27"/>
  <c r="F26"/>
  <c r="F33"/>
  <c r="F28"/>
  <c r="F30"/>
  <c r="F29"/>
  <c r="F25"/>
  <c r="O25"/>
  <c r="G28"/>
  <c r="G29"/>
  <c r="G30"/>
  <c r="G27"/>
  <c r="G33"/>
  <c r="G31"/>
  <c r="G26"/>
  <c r="G25"/>
  <c r="H30" i="46"/>
  <c r="H28"/>
  <c r="H27" i="44"/>
  <c r="H30" i="43"/>
  <c r="H32" i="46"/>
  <c r="H25"/>
  <c r="H29" i="43"/>
  <c r="E40" i="44"/>
  <c r="E42" s="1"/>
  <c r="C42" s="1"/>
  <c r="H31"/>
  <c r="H26" i="46"/>
  <c r="H29"/>
  <c r="H27"/>
  <c r="E38" i="44"/>
  <c r="C38" s="1"/>
  <c r="H28" i="43"/>
  <c r="H30" i="41"/>
  <c r="E39" i="46"/>
  <c r="E40" i="41"/>
  <c r="E42" s="1"/>
  <c r="C42" s="1"/>
  <c r="H27"/>
  <c r="E37" i="46"/>
  <c r="C37" s="1"/>
  <c r="H28" i="44"/>
  <c r="E39" i="43"/>
  <c r="E40" s="1"/>
  <c r="C40" s="1"/>
  <c r="E37"/>
  <c r="C37" s="1"/>
  <c r="H32"/>
  <c r="H26"/>
  <c r="E38" i="41"/>
  <c r="C38" s="1"/>
  <c r="H28"/>
  <c r="H27" i="43"/>
  <c r="H24" i="46"/>
  <c r="H25" i="44"/>
  <c r="H25" i="43"/>
  <c r="G33" i="46"/>
  <c r="H33" i="44"/>
  <c r="H29"/>
  <c r="H30"/>
  <c r="H29" i="41"/>
  <c r="H26"/>
  <c r="H25"/>
  <c r="G34"/>
  <c r="H26" i="44"/>
  <c r="H33" i="41"/>
  <c r="H31"/>
  <c r="G34" i="44"/>
  <c r="G30" i="37"/>
  <c r="G28"/>
  <c r="G26"/>
  <c r="G24"/>
  <c r="G25"/>
  <c r="G29"/>
  <c r="G32"/>
  <c r="G33" i="43"/>
  <c r="F30" i="37"/>
  <c r="F28"/>
  <c r="F26"/>
  <c r="F24"/>
  <c r="F32"/>
  <c r="F25"/>
  <c r="F29"/>
  <c r="F33" i="46"/>
  <c r="F34" i="44"/>
  <c r="F34" i="41"/>
  <c r="H24" i="43"/>
  <c r="F33"/>
  <c r="E39" i="37" l="1"/>
  <c r="E40" s="1"/>
  <c r="H33" i="46"/>
  <c r="E40" i="39"/>
  <c r="E42" s="1"/>
  <c r="G40" i="37"/>
  <c r="E38" i="39"/>
  <c r="C38" s="1"/>
  <c r="H29" i="37"/>
  <c r="E37"/>
  <c r="C37" s="1"/>
  <c r="G33"/>
  <c r="H27" i="39"/>
  <c r="C38" i="37"/>
  <c r="H33" i="43"/>
  <c r="E40" i="46"/>
  <c r="C40" s="1"/>
  <c r="H28" i="37"/>
  <c r="H34" i="44"/>
  <c r="C40"/>
  <c r="H34" i="41"/>
  <c r="C40"/>
  <c r="H29" i="39"/>
  <c r="H26"/>
  <c r="C39" i="46"/>
  <c r="C39" i="43"/>
  <c r="H26" i="37"/>
  <c r="H28" i="39"/>
  <c r="H33"/>
  <c r="G34"/>
  <c r="H27" i="37"/>
  <c r="H24"/>
  <c r="H25"/>
  <c r="H30"/>
  <c r="H30" i="39"/>
  <c r="H32" i="37"/>
  <c r="F34" i="39"/>
  <c r="H31"/>
  <c r="H25"/>
  <c r="F33" i="37"/>
  <c r="G42" i="39" l="1"/>
  <c r="C42" s="1"/>
  <c r="C39"/>
  <c r="C40" i="37"/>
  <c r="H33"/>
  <c r="C39"/>
  <c r="C40" i="39"/>
  <c r="H34"/>
  <c r="E34" i="35"/>
  <c r="E33" i="34"/>
  <c r="M24" s="1"/>
  <c r="E33" i="33"/>
  <c r="E34" i="32"/>
  <c r="E33" i="31"/>
  <c r="F30" i="34" l="1"/>
  <c r="F32"/>
  <c r="F28"/>
  <c r="F24"/>
  <c r="F29"/>
  <c r="F25"/>
  <c r="F26"/>
  <c r="F27"/>
  <c r="N25" i="32"/>
  <c r="G28" s="1"/>
  <c r="M25"/>
  <c r="F28" s="1"/>
  <c r="M24" i="33"/>
  <c r="F27" s="1"/>
  <c r="N24"/>
  <c r="G27" s="1"/>
  <c r="N24" i="34"/>
  <c r="N24" i="31"/>
  <c r="G27" s="1"/>
  <c r="M24"/>
  <c r="F27" s="1"/>
  <c r="N25" i="35"/>
  <c r="G28" s="1"/>
  <c r="M25"/>
  <c r="F28" s="1"/>
  <c r="E33" i="29"/>
  <c r="E33" i="28"/>
  <c r="G27" i="34" l="1"/>
  <c r="G24"/>
  <c r="G29"/>
  <c r="G30"/>
  <c r="G32"/>
  <c r="G26"/>
  <c r="G25"/>
  <c r="G28"/>
  <c r="N24" i="29"/>
  <c r="G27" s="1"/>
  <c r="M24"/>
  <c r="F27" s="1"/>
  <c r="N24" i="27"/>
  <c r="G27" s="1"/>
  <c r="M24"/>
  <c r="F27" s="1"/>
  <c r="N24" i="28"/>
  <c r="G27" s="1"/>
  <c r="M24"/>
  <c r="F27" s="1"/>
  <c r="F30" i="31"/>
  <c r="F28"/>
  <c r="F26"/>
  <c r="F24"/>
  <c r="F29"/>
  <c r="F32"/>
  <c r="F25"/>
  <c r="F30" i="33"/>
  <c r="F28"/>
  <c r="F26"/>
  <c r="F24"/>
  <c r="F29"/>
  <c r="F25"/>
  <c r="F32"/>
  <c r="G31" i="35"/>
  <c r="G29"/>
  <c r="G27"/>
  <c r="G25"/>
  <c r="G26"/>
  <c r="G30"/>
  <c r="G33"/>
  <c r="G31" i="32"/>
  <c r="G29"/>
  <c r="G27"/>
  <c r="G25"/>
  <c r="G26"/>
  <c r="G33"/>
  <c r="G30"/>
  <c r="F31"/>
  <c r="F29"/>
  <c r="F27"/>
  <c r="F25"/>
  <c r="F30"/>
  <c r="F26"/>
  <c r="F33"/>
  <c r="H28"/>
  <c r="G30" i="31"/>
  <c r="G28"/>
  <c r="H28" s="1"/>
  <c r="G26"/>
  <c r="G24"/>
  <c r="G25"/>
  <c r="G29"/>
  <c r="G32"/>
  <c r="G30" i="33"/>
  <c r="G28"/>
  <c r="G26"/>
  <c r="G24"/>
  <c r="G25"/>
  <c r="G29"/>
  <c r="G32"/>
  <c r="F31" i="35"/>
  <c r="F29"/>
  <c r="F27"/>
  <c r="F25"/>
  <c r="F30"/>
  <c r="F26"/>
  <c r="F33"/>
  <c r="E33" i="23"/>
  <c r="E33" i="22"/>
  <c r="H26" i="34" l="1"/>
  <c r="H24"/>
  <c r="H27" i="32"/>
  <c r="H30" i="35"/>
  <c r="H28" i="34"/>
  <c r="E39" i="33"/>
  <c r="E40" s="1"/>
  <c r="C40" s="1"/>
  <c r="E37" i="31"/>
  <c r="C37" s="1"/>
  <c r="H29" i="35"/>
  <c r="H30" i="34"/>
  <c r="H26" i="33"/>
  <c r="F32" i="29"/>
  <c r="F32" i="27"/>
  <c r="N24" i="23"/>
  <c r="G27" s="1"/>
  <c r="M24"/>
  <c r="F27" s="1"/>
  <c r="E40" i="32"/>
  <c r="C40" s="1"/>
  <c r="M24" i="22"/>
  <c r="N24"/>
  <c r="E40" i="35"/>
  <c r="C40" s="1"/>
  <c r="E38"/>
  <c r="C38" s="1"/>
  <c r="H27"/>
  <c r="H31"/>
  <c r="E39" i="34"/>
  <c r="C39" s="1"/>
  <c r="E37"/>
  <c r="C37" s="1"/>
  <c r="H27"/>
  <c r="H24" i="33"/>
  <c r="E37"/>
  <c r="C37" s="1"/>
  <c r="H25"/>
  <c r="H30" i="32"/>
  <c r="E38"/>
  <c r="C38" s="1"/>
  <c r="H24" i="31"/>
  <c r="E39"/>
  <c r="E40" s="1"/>
  <c r="C40" s="1"/>
  <c r="H26"/>
  <c r="H27"/>
  <c r="G33"/>
  <c r="H25" i="35"/>
  <c r="H26" i="32"/>
  <c r="H29" i="33"/>
  <c r="H26" i="35"/>
  <c r="F33" i="33"/>
  <c r="H28" i="35"/>
  <c r="G34"/>
  <c r="F34"/>
  <c r="H25" i="34"/>
  <c r="G33"/>
  <c r="H29"/>
  <c r="H28" i="33"/>
  <c r="H30"/>
  <c r="G33"/>
  <c r="H27"/>
  <c r="H29" i="31"/>
  <c r="H30"/>
  <c r="H25"/>
  <c r="H32"/>
  <c r="G30" i="27"/>
  <c r="G28"/>
  <c r="G26"/>
  <c r="G24"/>
  <c r="G25"/>
  <c r="G32"/>
  <c r="G29"/>
  <c r="F30"/>
  <c r="F28"/>
  <c r="F26"/>
  <c r="F24"/>
  <c r="F29"/>
  <c r="F25"/>
  <c r="G30" i="29"/>
  <c r="G28"/>
  <c r="G26"/>
  <c r="G24"/>
  <c r="G25"/>
  <c r="G29"/>
  <c r="G32"/>
  <c r="F30"/>
  <c r="F28"/>
  <c r="F26"/>
  <c r="F24"/>
  <c r="F29"/>
  <c r="F25"/>
  <c r="F33" i="34"/>
  <c r="H33" i="35"/>
  <c r="H32" i="34"/>
  <c r="H32" i="33"/>
  <c r="H33" i="32"/>
  <c r="G32" i="28"/>
  <c r="G30"/>
  <c r="G29"/>
  <c r="G28"/>
  <c r="G26"/>
  <c r="G25"/>
  <c r="G24"/>
  <c r="F32"/>
  <c r="F30"/>
  <c r="F29"/>
  <c r="F28"/>
  <c r="F26"/>
  <c r="F25"/>
  <c r="F24"/>
  <c r="H31" i="32"/>
  <c r="F34"/>
  <c r="H25"/>
  <c r="G34"/>
  <c r="H29"/>
  <c r="F33" i="31"/>
  <c r="E33" i="21"/>
  <c r="E33" i="18"/>
  <c r="E34" i="17"/>
  <c r="E34" i="14"/>
  <c r="E33" i="13"/>
  <c r="F30" i="22" l="1"/>
  <c r="F26"/>
  <c r="F29"/>
  <c r="F32"/>
  <c r="F27"/>
  <c r="F28"/>
  <c r="F24"/>
  <c r="F25"/>
  <c r="G26"/>
  <c r="G32"/>
  <c r="G28"/>
  <c r="G25"/>
  <c r="G30"/>
  <c r="G29"/>
  <c r="G27"/>
  <c r="G24"/>
  <c r="M25" i="17"/>
  <c r="N25"/>
  <c r="C38" i="34"/>
  <c r="G40"/>
  <c r="E42" i="35"/>
  <c r="C42" s="1"/>
  <c r="H28" i="28"/>
  <c r="H26" i="27"/>
  <c r="H30"/>
  <c r="H32"/>
  <c r="H28"/>
  <c r="H29"/>
  <c r="H30" i="29"/>
  <c r="H28"/>
  <c r="H26" i="28"/>
  <c r="N24" i="13"/>
  <c r="G27" s="1"/>
  <c r="M24"/>
  <c r="F27" s="1"/>
  <c r="M24" i="15"/>
  <c r="N24"/>
  <c r="N24" i="21"/>
  <c r="M24"/>
  <c r="N25" i="16"/>
  <c r="G28" s="1"/>
  <c r="M25"/>
  <c r="F28" s="1"/>
  <c r="N25" i="14"/>
  <c r="G28" s="1"/>
  <c r="M25"/>
  <c r="F28" s="1"/>
  <c r="N24" i="18"/>
  <c r="M24"/>
  <c r="E39" i="28"/>
  <c r="E40" s="1"/>
  <c r="C40" s="1"/>
  <c r="H34" i="35"/>
  <c r="E39" i="29"/>
  <c r="C39" s="1"/>
  <c r="H24"/>
  <c r="E37"/>
  <c r="C37" s="1"/>
  <c r="H26"/>
  <c r="E37" i="28"/>
  <c r="C37" s="1"/>
  <c r="H30"/>
  <c r="H27"/>
  <c r="H32"/>
  <c r="E39" i="27"/>
  <c r="E40" s="1"/>
  <c r="C40" s="1"/>
  <c r="E37"/>
  <c r="C37" s="1"/>
  <c r="H33" i="31"/>
  <c r="H27" i="29"/>
  <c r="H27" i="27"/>
  <c r="H25" i="28"/>
  <c r="C39" i="33"/>
  <c r="H29" i="28"/>
  <c r="H29" i="29"/>
  <c r="H25"/>
  <c r="H25" i="27"/>
  <c r="H33" i="33"/>
  <c r="H33" i="34"/>
  <c r="E40"/>
  <c r="C39" i="31"/>
  <c r="G33" i="29"/>
  <c r="H32"/>
  <c r="G33" i="28"/>
  <c r="G33" i="27"/>
  <c r="G30" i="23"/>
  <c r="G28"/>
  <c r="G26"/>
  <c r="G24"/>
  <c r="G25"/>
  <c r="G32"/>
  <c r="G29"/>
  <c r="F30"/>
  <c r="F28"/>
  <c r="F26"/>
  <c r="F24"/>
  <c r="F29"/>
  <c r="F32"/>
  <c r="F25"/>
  <c r="E42" i="32"/>
  <c r="C42" s="1"/>
  <c r="H34"/>
  <c r="F33" i="29"/>
  <c r="F33" i="27"/>
  <c r="H24"/>
  <c r="F33" i="28"/>
  <c r="H24"/>
  <c r="G26" i="21" l="1"/>
  <c r="G25"/>
  <c r="G28"/>
  <c r="G32"/>
  <c r="G30"/>
  <c r="G27"/>
  <c r="G29"/>
  <c r="G24"/>
  <c r="F30"/>
  <c r="F26"/>
  <c r="F27"/>
  <c r="F24"/>
  <c r="F29"/>
  <c r="F25"/>
  <c r="F32"/>
  <c r="F28"/>
  <c r="F30" i="18"/>
  <c r="F26"/>
  <c r="F32"/>
  <c r="F27"/>
  <c r="F28"/>
  <c r="F24"/>
  <c r="F25"/>
  <c r="F29"/>
  <c r="G26"/>
  <c r="G32"/>
  <c r="G28"/>
  <c r="G25"/>
  <c r="G30"/>
  <c r="G27"/>
  <c r="G24"/>
  <c r="G29"/>
  <c r="F31" i="17"/>
  <c r="F27"/>
  <c r="F30"/>
  <c r="F33"/>
  <c r="F28"/>
  <c r="F29"/>
  <c r="F25"/>
  <c r="F26"/>
  <c r="G28"/>
  <c r="G27"/>
  <c r="G30"/>
  <c r="G25"/>
  <c r="G33"/>
  <c r="G31"/>
  <c r="G29"/>
  <c r="G26"/>
  <c r="F33" i="14"/>
  <c r="G37" i="21"/>
  <c r="H29" i="22"/>
  <c r="C40" i="34"/>
  <c r="H33" i="28"/>
  <c r="E39" i="22"/>
  <c r="E40" s="1"/>
  <c r="C40" s="1"/>
  <c r="E39" i="23"/>
  <c r="E37"/>
  <c r="C37" s="1"/>
  <c r="E37" i="22"/>
  <c r="C37" s="1"/>
  <c r="H33" i="29"/>
  <c r="H33" i="27"/>
  <c r="H32" i="23"/>
  <c r="H26" i="22"/>
  <c r="E40" i="29"/>
  <c r="C40" s="1"/>
  <c r="C39" i="28"/>
  <c r="H30" i="22"/>
  <c r="G33"/>
  <c r="H25"/>
  <c r="H32"/>
  <c r="G30" i="13"/>
  <c r="G28"/>
  <c r="G26"/>
  <c r="G24"/>
  <c r="G25"/>
  <c r="G32"/>
  <c r="G29"/>
  <c r="F30"/>
  <c r="F28"/>
  <c r="F26"/>
  <c r="F24"/>
  <c r="F32"/>
  <c r="F29"/>
  <c r="F25"/>
  <c r="G31" i="14"/>
  <c r="G29"/>
  <c r="G27"/>
  <c r="G25"/>
  <c r="G26"/>
  <c r="G30"/>
  <c r="G33"/>
  <c r="G31" i="16"/>
  <c r="G29"/>
  <c r="G27"/>
  <c r="G25"/>
  <c r="G26"/>
  <c r="G33"/>
  <c r="G30"/>
  <c r="F31" i="14"/>
  <c r="F29"/>
  <c r="F27"/>
  <c r="F25"/>
  <c r="F30"/>
  <c r="F26"/>
  <c r="F31" i="16"/>
  <c r="F29"/>
  <c r="F27"/>
  <c r="F25"/>
  <c r="F33"/>
  <c r="F30"/>
  <c r="F26"/>
  <c r="C39" i="27"/>
  <c r="G33" i="23"/>
  <c r="H28"/>
  <c r="H25"/>
  <c r="H29"/>
  <c r="H24"/>
  <c r="F33"/>
  <c r="H30"/>
  <c r="H27"/>
  <c r="H26"/>
  <c r="H24" i="22"/>
  <c r="G32" i="15"/>
  <c r="G30"/>
  <c r="G29"/>
  <c r="G28"/>
  <c r="G27"/>
  <c r="G26"/>
  <c r="G25"/>
  <c r="G24"/>
  <c r="F32"/>
  <c r="F30"/>
  <c r="F29"/>
  <c r="F28"/>
  <c r="F27"/>
  <c r="F26"/>
  <c r="F25"/>
  <c r="F24"/>
  <c r="H27" i="22"/>
  <c r="F33"/>
  <c r="H28"/>
  <c r="H30" i="15" l="1"/>
  <c r="H26" i="18"/>
  <c r="H27"/>
  <c r="H29" i="17"/>
  <c r="H28"/>
  <c r="H25" i="18"/>
  <c r="H25" i="15"/>
  <c r="H29"/>
  <c r="H26" i="21"/>
  <c r="H26" i="15"/>
  <c r="H29" i="14"/>
  <c r="H32" i="15"/>
  <c r="H27" i="14"/>
  <c r="H30" i="18"/>
  <c r="H30" i="17"/>
  <c r="H27"/>
  <c r="H26" i="13"/>
  <c r="H30"/>
  <c r="E40" i="16"/>
  <c r="E42" s="1"/>
  <c r="C42" s="1"/>
  <c r="H31" i="14"/>
  <c r="H29" i="18"/>
  <c r="H31" i="17"/>
  <c r="H28" i="16"/>
  <c r="H31"/>
  <c r="H28" i="13"/>
  <c r="E38" i="16"/>
  <c r="C38" s="1"/>
  <c r="H29"/>
  <c r="H33"/>
  <c r="E39" i="21"/>
  <c r="C39" s="1"/>
  <c r="E40" i="17"/>
  <c r="E42" s="1"/>
  <c r="C42" s="1"/>
  <c r="E37" i="21"/>
  <c r="C37" s="1"/>
  <c r="H32"/>
  <c r="H30"/>
  <c r="E39" i="18"/>
  <c r="E37"/>
  <c r="C37" s="1"/>
  <c r="H25" i="17"/>
  <c r="E38"/>
  <c r="C38" s="1"/>
  <c r="H28" i="15"/>
  <c r="E39"/>
  <c r="E37"/>
  <c r="C37" s="1"/>
  <c r="E40" i="14"/>
  <c r="C40" s="1"/>
  <c r="E38"/>
  <c r="C38" s="1"/>
  <c r="H28"/>
  <c r="E39" i="13"/>
  <c r="E40" s="1"/>
  <c r="C40" s="1"/>
  <c r="H24"/>
  <c r="E37"/>
  <c r="C37" s="1"/>
  <c r="F33" i="18"/>
  <c r="H33" i="22"/>
  <c r="G33" i="21"/>
  <c r="H27" i="13"/>
  <c r="C39" i="22"/>
  <c r="H33" i="14"/>
  <c r="H33" i="17"/>
  <c r="H32" i="13"/>
  <c r="H27" i="21"/>
  <c r="H28"/>
  <c r="F33" i="13"/>
  <c r="H29" i="21"/>
  <c r="H26" i="17"/>
  <c r="H30" i="16"/>
  <c r="H25" i="13"/>
  <c r="H29"/>
  <c r="G33"/>
  <c r="G34" i="17"/>
  <c r="C39" i="23"/>
  <c r="E40"/>
  <c r="C40" s="1"/>
  <c r="H33"/>
  <c r="F34" i="17"/>
  <c r="H25" i="21"/>
  <c r="F33"/>
  <c r="H24"/>
  <c r="H24" i="18"/>
  <c r="G33"/>
  <c r="H32"/>
  <c r="H28"/>
  <c r="F34" i="16"/>
  <c r="H26"/>
  <c r="G34"/>
  <c r="H25"/>
  <c r="H27"/>
  <c r="H24" i="15"/>
  <c r="G33"/>
  <c r="H27"/>
  <c r="F33"/>
  <c r="H25" i="14"/>
  <c r="F34"/>
  <c r="H30"/>
  <c r="G34"/>
  <c r="H26"/>
  <c r="C39" i="15" l="1"/>
  <c r="E40"/>
  <c r="C40" s="1"/>
  <c r="C40" i="17"/>
  <c r="H34"/>
  <c r="C40" i="16"/>
  <c r="H33" i="15"/>
  <c r="C39" i="13"/>
  <c r="H33"/>
  <c r="H33" i="21"/>
  <c r="E40"/>
  <c r="C40" s="1"/>
  <c r="H33" i="18"/>
  <c r="E42" i="14"/>
  <c r="C42" s="1"/>
  <c r="C39" i="18"/>
  <c r="E40"/>
  <c r="C40" s="1"/>
  <c r="H34" i="16"/>
  <c r="H34" i="14"/>
  <c r="M25" i="12" l="1"/>
  <c r="F28" s="1"/>
  <c r="N25"/>
  <c r="G28" s="1"/>
  <c r="E34" i="11"/>
  <c r="M25" l="1"/>
  <c r="F28" s="1"/>
  <c r="N25"/>
  <c r="G28" s="1"/>
  <c r="G30" i="12"/>
  <c r="G29"/>
  <c r="G27"/>
  <c r="G26"/>
  <c r="G33"/>
  <c r="G31"/>
  <c r="G25"/>
  <c r="F33"/>
  <c r="F31"/>
  <c r="F25"/>
  <c r="F26"/>
  <c r="F30"/>
  <c r="F29"/>
  <c r="F27"/>
  <c r="H29" l="1"/>
  <c r="H27"/>
  <c r="H30"/>
  <c r="E40"/>
  <c r="E42" s="1"/>
  <c r="C42" s="1"/>
  <c r="E38"/>
  <c r="C38" s="1"/>
  <c r="H33"/>
  <c r="H31"/>
  <c r="G34"/>
  <c r="H28"/>
  <c r="H26"/>
  <c r="G31" i="11"/>
  <c r="G29"/>
  <c r="G27"/>
  <c r="G25"/>
  <c r="G26"/>
  <c r="G30"/>
  <c r="G33"/>
  <c r="F31"/>
  <c r="F29"/>
  <c r="F27"/>
  <c r="F25"/>
  <c r="F33"/>
  <c r="F26"/>
  <c r="F30"/>
  <c r="H25" i="12"/>
  <c r="F34"/>
  <c r="E33" i="10"/>
  <c r="N24" l="1"/>
  <c r="G27" s="1"/>
  <c r="M24"/>
  <c r="F27" s="1"/>
  <c r="E40" i="11"/>
  <c r="E38"/>
  <c r="C38" s="1"/>
  <c r="C40" i="12"/>
  <c r="H34"/>
  <c r="H28" i="11"/>
  <c r="H30"/>
  <c r="H29"/>
  <c r="H33"/>
  <c r="F34"/>
  <c r="H25"/>
  <c r="G34"/>
  <c r="H31"/>
  <c r="H27"/>
  <c r="H26"/>
  <c r="E34" i="9"/>
  <c r="E34" i="6"/>
  <c r="E34" i="5"/>
  <c r="M24" i="62" l="1"/>
  <c r="F27" s="1"/>
  <c r="N24"/>
  <c r="G27" s="1"/>
  <c r="N24" i="7"/>
  <c r="M24"/>
  <c r="M25" i="8"/>
  <c r="F25" s="1"/>
  <c r="N25"/>
  <c r="M25" i="6"/>
  <c r="F28" s="1"/>
  <c r="N25"/>
  <c r="G28" s="1"/>
  <c r="M25" i="9"/>
  <c r="F33" s="1"/>
  <c r="N25"/>
  <c r="N25" i="5"/>
  <c r="G28" s="1"/>
  <c r="M25"/>
  <c r="F28" s="1"/>
  <c r="G30" i="10"/>
  <c r="G28"/>
  <c r="G26"/>
  <c r="G24"/>
  <c r="G29"/>
  <c r="G25"/>
  <c r="G32"/>
  <c r="F32"/>
  <c r="F29"/>
  <c r="F25"/>
  <c r="F28"/>
  <c r="F30"/>
  <c r="F26"/>
  <c r="F24"/>
  <c r="H34" i="11"/>
  <c r="E42"/>
  <c r="C42" s="1"/>
  <c r="C40"/>
  <c r="G25" i="7" l="1"/>
  <c r="G24"/>
  <c r="G27"/>
  <c r="G26"/>
  <c r="G29"/>
  <c r="G30"/>
  <c r="G32"/>
  <c r="G28"/>
  <c r="F29"/>
  <c r="F25"/>
  <c r="F26"/>
  <c r="F24"/>
  <c r="F30"/>
  <c r="F32"/>
  <c r="F27"/>
  <c r="F28"/>
  <c r="H28" i="6"/>
  <c r="F25"/>
  <c r="H26" i="10"/>
  <c r="E39"/>
  <c r="E37"/>
  <c r="C37" s="1"/>
  <c r="H27"/>
  <c r="H28"/>
  <c r="H32"/>
  <c r="H29"/>
  <c r="H30"/>
  <c r="H25"/>
  <c r="G31" i="6"/>
  <c r="G29"/>
  <c r="G27"/>
  <c r="G25"/>
  <c r="G30"/>
  <c r="G26"/>
  <c r="G33"/>
  <c r="G31" i="9"/>
  <c r="G29"/>
  <c r="G27"/>
  <c r="G25"/>
  <c r="G28"/>
  <c r="G30"/>
  <c r="G26"/>
  <c r="G33"/>
  <c r="G32" i="62"/>
  <c r="G30"/>
  <c r="G28"/>
  <c r="G26"/>
  <c r="G24"/>
  <c r="G29"/>
  <c r="G25"/>
  <c r="F31" i="6"/>
  <c r="F29"/>
  <c r="F27"/>
  <c r="F30"/>
  <c r="F26"/>
  <c r="F33"/>
  <c r="F31" i="9"/>
  <c r="F29"/>
  <c r="F27"/>
  <c r="F25"/>
  <c r="F30"/>
  <c r="F26"/>
  <c r="F28"/>
  <c r="F30" i="62"/>
  <c r="F28"/>
  <c r="F26"/>
  <c r="F24"/>
  <c r="F32"/>
  <c r="F29"/>
  <c r="F25"/>
  <c r="G33" i="5"/>
  <c r="G29"/>
  <c r="G27"/>
  <c r="G25"/>
  <c r="G31"/>
  <c r="G30"/>
  <c r="G26"/>
  <c r="F33" i="8"/>
  <c r="F29"/>
  <c r="F27"/>
  <c r="F30"/>
  <c r="F26"/>
  <c r="F31"/>
  <c r="F28"/>
  <c r="F33" i="5"/>
  <c r="F29"/>
  <c r="F27"/>
  <c r="F25"/>
  <c r="F30"/>
  <c r="F26"/>
  <c r="F31"/>
  <c r="H28"/>
  <c r="G33" i="8"/>
  <c r="G29"/>
  <c r="G27"/>
  <c r="G25"/>
  <c r="G28"/>
  <c r="G30"/>
  <c r="G26"/>
  <c r="G31"/>
  <c r="H24" i="10"/>
  <c r="F33"/>
  <c r="G33"/>
  <c r="H27" i="62"/>
  <c r="E34" i="4"/>
  <c r="C38" i="1"/>
  <c r="E38" i="8" l="1"/>
  <c r="C38" s="1"/>
  <c r="C39" i="10"/>
  <c r="E40"/>
  <c r="C40" s="1"/>
  <c r="H27" i="6"/>
  <c r="H26" i="7"/>
  <c r="E40" i="5"/>
  <c r="E40" i="8"/>
  <c r="E42" s="1"/>
  <c r="C42" s="1"/>
  <c r="H27" i="9"/>
  <c r="H31"/>
  <c r="H29" i="8"/>
  <c r="H25" i="7"/>
  <c r="H33" i="6"/>
  <c r="H33" i="5"/>
  <c r="H26" i="6"/>
  <c r="H30"/>
  <c r="H29" i="9"/>
  <c r="H29" i="6"/>
  <c r="E39" i="7"/>
  <c r="C39" s="1"/>
  <c r="H32" i="62"/>
  <c r="E39"/>
  <c r="C39" s="1"/>
  <c r="E37"/>
  <c r="C37" s="1"/>
  <c r="H25"/>
  <c r="N25" i="4"/>
  <c r="G28" s="1"/>
  <c r="M25"/>
  <c r="F28" s="1"/>
  <c r="E38" i="5"/>
  <c r="C38" s="1"/>
  <c r="N25" i="2"/>
  <c r="M25"/>
  <c r="E40" i="9"/>
  <c r="E38"/>
  <c r="C38" s="1"/>
  <c r="H26"/>
  <c r="H25" i="8"/>
  <c r="H27"/>
  <c r="E37" i="7"/>
  <c r="C37" s="1"/>
  <c r="E40" i="6"/>
  <c r="C40" s="1"/>
  <c r="H25"/>
  <c r="E38"/>
  <c r="C38" s="1"/>
  <c r="H31"/>
  <c r="H26" i="5"/>
  <c r="H27"/>
  <c r="H29"/>
  <c r="H30"/>
  <c r="H30" i="62"/>
  <c r="H30" i="9"/>
  <c r="H33"/>
  <c r="G34" i="8"/>
  <c r="F34"/>
  <c r="H31" i="5"/>
  <c r="H32" i="7"/>
  <c r="H29"/>
  <c r="H30" i="8"/>
  <c r="H28" i="62"/>
  <c r="H26"/>
  <c r="H28" i="8"/>
  <c r="H28" i="9"/>
  <c r="G33" i="62"/>
  <c r="H33" i="10"/>
  <c r="H26" i="8"/>
  <c r="H33"/>
  <c r="H31"/>
  <c r="H30" i="7"/>
  <c r="H28"/>
  <c r="H27"/>
  <c r="G34" i="6"/>
  <c r="F34" i="5"/>
  <c r="G33" i="7"/>
  <c r="H29" i="62"/>
  <c r="H25" i="9"/>
  <c r="F34"/>
  <c r="G34"/>
  <c r="F34" i="6"/>
  <c r="H24" i="62"/>
  <c r="F33" i="7"/>
  <c r="H24"/>
  <c r="H25" i="5"/>
  <c r="F33" i="62"/>
  <c r="G34" i="5"/>
  <c r="E33" i="64"/>
  <c r="E33" i="1"/>
  <c r="C40" i="8" l="1"/>
  <c r="E40" i="62"/>
  <c r="C40" s="1"/>
  <c r="M24" i="64"/>
  <c r="F27" s="1"/>
  <c r="N24"/>
  <c r="G27" s="1"/>
  <c r="H34" i="6"/>
  <c r="F33" i="2"/>
  <c r="N24" i="1"/>
  <c r="M24"/>
  <c r="H34" i="5"/>
  <c r="H34" i="9"/>
  <c r="E40" i="7"/>
  <c r="C40" s="1"/>
  <c r="H34" i="8"/>
  <c r="H33" i="7"/>
  <c r="E42" i="6"/>
  <c r="C42" s="1"/>
  <c r="F31" i="4"/>
  <c r="F29"/>
  <c r="F27"/>
  <c r="F25"/>
  <c r="F30"/>
  <c r="F26"/>
  <c r="F33"/>
  <c r="F31" i="2"/>
  <c r="F29"/>
  <c r="F27"/>
  <c r="F25"/>
  <c r="F30"/>
  <c r="F26"/>
  <c r="G31" i="4"/>
  <c r="G29"/>
  <c r="G27"/>
  <c r="G25"/>
  <c r="G33"/>
  <c r="G30"/>
  <c r="G26"/>
  <c r="G31" i="2"/>
  <c r="G29"/>
  <c r="G27"/>
  <c r="G25"/>
  <c r="G33"/>
  <c r="G30"/>
  <c r="G26"/>
  <c r="H33" i="62"/>
  <c r="E42" i="9"/>
  <c r="C42" s="1"/>
  <c r="C40"/>
  <c r="C40" i="5"/>
  <c r="E42"/>
  <c r="C42" s="1"/>
  <c r="E40" i="4" l="1"/>
  <c r="C40" s="1"/>
  <c r="E38"/>
  <c r="C38" s="1"/>
  <c r="C40" i="2"/>
  <c r="H26"/>
  <c r="C38"/>
  <c r="H31"/>
  <c r="H30"/>
  <c r="H27" i="4"/>
  <c r="H33" i="2"/>
  <c r="H30" i="4"/>
  <c r="H31"/>
  <c r="H29"/>
  <c r="G34"/>
  <c r="H28"/>
  <c r="F34"/>
  <c r="H28" i="2"/>
  <c r="H25"/>
  <c r="H27"/>
  <c r="G34"/>
  <c r="H29"/>
  <c r="F30" i="64"/>
  <c r="F28"/>
  <c r="F26"/>
  <c r="F24"/>
  <c r="F32"/>
  <c r="F29"/>
  <c r="F25"/>
  <c r="G30"/>
  <c r="G28"/>
  <c r="G26"/>
  <c r="G24"/>
  <c r="G32"/>
  <c r="G29"/>
  <c r="H27"/>
  <c r="G25"/>
  <c r="F32" i="1"/>
  <c r="F29"/>
  <c r="F25"/>
  <c r="F28"/>
  <c r="F30"/>
  <c r="F26"/>
  <c r="F24"/>
  <c r="G30"/>
  <c r="G28"/>
  <c r="G26"/>
  <c r="G24"/>
  <c r="G29"/>
  <c r="G25"/>
  <c r="G32"/>
  <c r="H25" i="4"/>
  <c r="H33"/>
  <c r="H26"/>
  <c r="F34" i="2"/>
  <c r="E39" i="1" l="1"/>
  <c r="E41" s="1"/>
  <c r="C41" s="1"/>
  <c r="E39" i="64"/>
  <c r="C39" s="1"/>
  <c r="E37"/>
  <c r="C37" s="1"/>
  <c r="H26"/>
  <c r="E42" i="4"/>
  <c r="C42" s="1"/>
  <c r="E37" i="1"/>
  <c r="H26"/>
  <c r="H27"/>
  <c r="C42" i="2"/>
  <c r="H29" i="64"/>
  <c r="H30"/>
  <c r="H34" i="2"/>
  <c r="H25" i="64"/>
  <c r="H34" i="4"/>
  <c r="H30" i="1"/>
  <c r="G33"/>
  <c r="H28"/>
  <c r="H25"/>
  <c r="H29"/>
  <c r="H28" i="64"/>
  <c r="H24" i="1"/>
  <c r="H32"/>
  <c r="H32" i="64"/>
  <c r="G33"/>
  <c r="F33"/>
  <c r="H24"/>
  <c r="E33" i="25"/>
  <c r="N24" l="1"/>
  <c r="G27" s="1"/>
  <c r="M24"/>
  <c r="F27" s="1"/>
  <c r="E40" i="64"/>
  <c r="C40" s="1"/>
  <c r="C39" i="1"/>
  <c r="C37"/>
  <c r="H33"/>
  <c r="H33" i="64"/>
  <c r="F30" i="25" l="1"/>
  <c r="F28"/>
  <c r="F26"/>
  <c r="F24"/>
  <c r="F29"/>
  <c r="F25"/>
  <c r="F32"/>
  <c r="E37" l="1"/>
  <c r="C37" s="1"/>
  <c r="F33"/>
  <c r="O24" i="3" l="1"/>
  <c r="N24"/>
  <c r="F30" l="1"/>
  <c r="F25"/>
  <c r="F29"/>
  <c r="F26"/>
  <c r="F32"/>
  <c r="F24"/>
  <c r="G24"/>
  <c r="G26"/>
  <c r="G25"/>
  <c r="G29"/>
  <c r="G30"/>
  <c r="H30" s="1"/>
  <c r="G32"/>
  <c r="L12" i="11"/>
  <c r="H28" i="3" l="1"/>
  <c r="F33"/>
  <c r="H25"/>
  <c r="H29"/>
  <c r="H24"/>
  <c r="H32"/>
  <c r="H26"/>
  <c r="E37"/>
  <c r="C37" s="1"/>
  <c r="H27"/>
  <c r="G33"/>
  <c r="E39"/>
  <c r="E40" s="1"/>
  <c r="C40" s="1"/>
  <c r="G32" i="25"/>
  <c r="H32" s="1"/>
  <c r="G28"/>
  <c r="H28" s="1"/>
  <c r="G26"/>
  <c r="H26" s="1"/>
  <c r="G29"/>
  <c r="H29" s="1"/>
  <c r="G30"/>
  <c r="H30" s="1"/>
  <c r="G25"/>
  <c r="H25" s="1"/>
  <c r="H27"/>
  <c r="G24"/>
  <c r="H24" s="1"/>
  <c r="H33" i="3" l="1"/>
  <c r="C39"/>
  <c r="H33" i="25"/>
  <c r="G33"/>
  <c r="E39"/>
  <c r="E40" l="1"/>
  <c r="C40" s="1"/>
  <c r="C39"/>
</calcChain>
</file>

<file path=xl/comments1.xml><?xml version="1.0" encoding="utf-8"?>
<comments xmlns="http://schemas.openxmlformats.org/spreadsheetml/2006/main">
  <authors>
    <author>Автор</author>
  </authors>
  <commentList>
    <comment ref="G32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вноситься в акт 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G3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сумма вноситься в акт </t>
        </r>
      </text>
    </comment>
  </commentList>
</comments>
</file>

<file path=xl/sharedStrings.xml><?xml version="1.0" encoding="utf-8"?>
<sst xmlns="http://schemas.openxmlformats.org/spreadsheetml/2006/main" count="4923" uniqueCount="307">
  <si>
    <t>• Адрес МКД</t>
  </si>
  <si>
    <t>• Год постройки</t>
  </si>
  <si>
    <t>• Этажность</t>
  </si>
  <si>
    <t>• Количество квартир</t>
  </si>
  <si>
    <t>• Общая площадь дома с учетом помещений
общего пользования</t>
  </si>
  <si>
    <t>• Общая площадь жилых помещений</t>
  </si>
  <si>
    <t>• Общая площадь нежилых помещений</t>
  </si>
  <si>
    <t>• Площадь придомовой территории,
входящей в состав общего имущества МКД</t>
  </si>
  <si>
    <t>Содержание общего
имущества МКД (руб.)</t>
  </si>
  <si>
    <t>Текущий ремонт 
общего имущества 
МКД (руб.)</t>
  </si>
  <si>
    <t>Айвазовского 16</t>
  </si>
  <si>
    <t>660,6 кв. м.</t>
  </si>
  <si>
    <t>0 кв. м.</t>
  </si>
  <si>
    <t>931,9 кв. м. - грунт;
180,2 кв. м. - асфальт</t>
  </si>
  <si>
    <t>1. Начислено</t>
  </si>
  <si>
    <t>2. Оплачено</t>
  </si>
  <si>
    <t>Айвазовского 18</t>
  </si>
  <si>
    <t>1356 кв. м. - грунт</t>
  </si>
  <si>
    <t>682,5 кв. м.</t>
  </si>
  <si>
    <t>Айвазовского 20</t>
  </si>
  <si>
    <t>399,7 кв. м.</t>
  </si>
  <si>
    <t>689,8 кв. м. - грунт;
108,2 кв. м. - асфальт</t>
  </si>
  <si>
    <t>Волна Революции 36</t>
  </si>
  <si>
    <t>Грессовская 1</t>
  </si>
  <si>
    <t>991 кв. м.</t>
  </si>
  <si>
    <t>1102,5 кв. м. - грунт;
530 кв. м. - асфальт</t>
  </si>
  <si>
    <t>Грессовская 3</t>
  </si>
  <si>
    <t>1059,6 кв. м.</t>
  </si>
  <si>
    <t>1465,1 кв. м. - грунт;
160 кв. м. - асфальт</t>
  </si>
  <si>
    <t>Грессовская 7</t>
  </si>
  <si>
    <t>567,9 кв. м.</t>
  </si>
  <si>
    <t>37,3 кв. м.</t>
  </si>
  <si>
    <t>1991,5 кв. м. - грунт;
213 кв. м. - асфальт</t>
  </si>
  <si>
    <t>Грессовская 15</t>
  </si>
  <si>
    <t>586 кв. м.</t>
  </si>
  <si>
    <t>2748,8 кв. м. - грунт;
150 кв. м. - асфальт</t>
  </si>
  <si>
    <t>Грессовская 17</t>
  </si>
  <si>
    <t>567,1 кв. м.</t>
  </si>
  <si>
    <t>2711,2 кв. м. - грунт;
150 кв. м. - асфальт</t>
  </si>
  <si>
    <t>Грессовская 19</t>
  </si>
  <si>
    <t>1090,1 кв. м.</t>
  </si>
  <si>
    <t>735,2 кв. м. - грунт;
406,3 кв. м. - асфальт</t>
  </si>
  <si>
    <t>Демократическая 18</t>
  </si>
  <si>
    <t>393,2 кв. м.</t>
  </si>
  <si>
    <t>1237,3 кв. м. - грунт;
130 кв. м. - асфальт</t>
  </si>
  <si>
    <t>Демократическая 20</t>
  </si>
  <si>
    <t>387,4 кв. м.</t>
  </si>
  <si>
    <t>589,1 кв. м. - грунт;
100 кв. м. - асфальт</t>
  </si>
  <si>
    <t>Демократическая 22</t>
  </si>
  <si>
    <t>680,7 кв. м.</t>
  </si>
  <si>
    <t>891,8 кв. м. - грунт;
130 кв. м. - асфальт</t>
  </si>
  <si>
    <t>Демократическая 24</t>
  </si>
  <si>
    <t>680,6 кв. м.</t>
  </si>
  <si>
    <t>671,6 кв. м. - грунт;
187 кв. м. - асфальт</t>
  </si>
  <si>
    <t>Землячки 13</t>
  </si>
  <si>
    <t>399,1 кв. м.</t>
  </si>
  <si>
    <t>Землячки 15</t>
  </si>
  <si>
    <t>663,2 кв. м.</t>
  </si>
  <si>
    <t>507,5 кв. м. - грунт;
145 кв. м. - асфальт</t>
  </si>
  <si>
    <t>Землячки 22</t>
  </si>
  <si>
    <t>661,2кв. м.</t>
  </si>
  <si>
    <t>79,7 кв. м.</t>
  </si>
  <si>
    <t>2669,8 кв. м. - грунт</t>
  </si>
  <si>
    <t>Землячки 24</t>
  </si>
  <si>
    <t>680 кв. м.</t>
  </si>
  <si>
    <t>29,2 кв. м.</t>
  </si>
  <si>
    <t>875,6 кв. м. - грунт;
168,5 - асфальт.</t>
  </si>
  <si>
    <t>3736,4 кв. м.</t>
  </si>
  <si>
    <t>772 кв. м. - грунт;
1263 - асфальт.</t>
  </si>
  <si>
    <t>3681,5 кв. м.</t>
  </si>
  <si>
    <t>1520 кв. м. - грунт;
412 - асфальт.</t>
  </si>
  <si>
    <t>Либкнехта 11</t>
  </si>
  <si>
    <t>1252,2 кв. м.</t>
  </si>
  <si>
    <t>1820,6 кв. м. - грунт;
51,6 кв. м. - асфальт</t>
  </si>
  <si>
    <t>К. Либкнехта 11а</t>
  </si>
  <si>
    <t>744,5 кв. м.</t>
  </si>
  <si>
    <t>97,6 кв. м.</t>
  </si>
  <si>
    <t>494 кв. м. - грунт;
381 - асфальт.</t>
  </si>
  <si>
    <t>К. Либкнехта 12</t>
  </si>
  <si>
    <t>619,3 кв. м.</t>
  </si>
  <si>
    <t>К. Либкнехта 17</t>
  </si>
  <si>
    <t>443,3 кв. м.</t>
  </si>
  <si>
    <t>Карла Маркса 60</t>
  </si>
  <si>
    <t>763,2 кв. м.</t>
  </si>
  <si>
    <t>53,9 кв. м.</t>
  </si>
  <si>
    <t>899,8 кв. м. - грунт;
190 кв. м. - асфальт</t>
  </si>
  <si>
    <t>Карла Маркса 62</t>
  </si>
  <si>
    <t>443,5 кв. м.</t>
  </si>
  <si>
    <t>2100,3 кв. м. - грунт;
140 кв. м. - асфальт</t>
  </si>
  <si>
    <t>Краснофлотская 19</t>
  </si>
  <si>
    <t>650,8 кв. м.</t>
  </si>
  <si>
    <t>1481,2 кв. м. - грунт;
227 кв. м. - асфальт</t>
  </si>
  <si>
    <t>Пичугина 1</t>
  </si>
  <si>
    <t>668,5 кв. м.</t>
  </si>
  <si>
    <t>965,8 кв. м. - грунт;
240 кв. м. - асфальт</t>
  </si>
  <si>
    <t>Пичугина 3</t>
  </si>
  <si>
    <t>674,6 кв. м.</t>
  </si>
  <si>
    <t>911,2 кв. м. - грунт;
200,8 кв. м. - асфальт</t>
  </si>
  <si>
    <t>Пичугина 5</t>
  </si>
  <si>
    <t>397,3 кв. м.</t>
  </si>
  <si>
    <t>585,7 кв. м. - грунт;
200 кв. м. - асфальт</t>
  </si>
  <si>
    <t>Пичугина 9</t>
  </si>
  <si>
    <t>348,3 кв. м.</t>
  </si>
  <si>
    <t>42,8 кв. м.</t>
  </si>
  <si>
    <t>1082,5 кв. м. - грунт;
193,3 кв. м. - асфальт</t>
  </si>
  <si>
    <t>Пичугина 9а</t>
  </si>
  <si>
    <t>640,9 кв. м.</t>
  </si>
  <si>
    <t>0 кв. м. - грунт;
0 кв. м. - асфальт</t>
  </si>
  <si>
    <t>Пичугина 11</t>
  </si>
  <si>
    <t>899,9 кв. м. - грунт;
182 кв. м. - асфальт</t>
  </si>
  <si>
    <t>689 кв. м.</t>
  </si>
  <si>
    <t>Пичугина 13</t>
  </si>
  <si>
    <t>689,5 кв. м.</t>
  </si>
  <si>
    <t>1145,5 кв. м. - грунт;
182 кв. м. - асфальт</t>
  </si>
  <si>
    <t>Пичугина 15</t>
  </si>
  <si>
    <t>623,8 кв. м.</t>
  </si>
  <si>
    <t>1187,7 кв. м. - грунт;
130 кв. м. - асфальт</t>
  </si>
  <si>
    <t>Пичугина 17</t>
  </si>
  <si>
    <t>382,6 кв. м.</t>
  </si>
  <si>
    <t>Пичугина 19</t>
  </si>
  <si>
    <t>676,1 кв. м.</t>
  </si>
  <si>
    <t>751,5 кв. м. - грунт;
131,6 кв. м. - асфальт</t>
  </si>
  <si>
    <t>1935,8 кв. м. - грунт;
131,6 кв. м. - асфальт</t>
  </si>
  <si>
    <t>Пичугина 21</t>
  </si>
  <si>
    <t>400,1 кв. м.</t>
  </si>
  <si>
    <t>1180,8 кв. м. - грунт</t>
  </si>
  <si>
    <t>Пичугина 23</t>
  </si>
  <si>
    <t>687,6 кв. м.</t>
  </si>
  <si>
    <t>1439 кв. м. - грунт;
130 кв. м. - асфальт</t>
  </si>
  <si>
    <t>Розы Люксембург 2</t>
  </si>
  <si>
    <t>478 кв. м.</t>
  </si>
  <si>
    <t>Розы Люксембург 2а</t>
  </si>
  <si>
    <t>Северная 4</t>
  </si>
  <si>
    <t>622 кв. м.</t>
  </si>
  <si>
    <t>916,8 кв. м. - грунт</t>
  </si>
  <si>
    <t>Седова 4а</t>
  </si>
  <si>
    <t>921,3 кв. м.</t>
  </si>
  <si>
    <t>Седова 8а</t>
  </si>
  <si>
    <t>597,9 кв. м.</t>
  </si>
  <si>
    <t>1543,9 кв. м. - грунт;
598,2 кв. м. - асфальт</t>
  </si>
  <si>
    <t>331,7 кв. м. - грунт;
1312,5 кв. м. - асфальт</t>
  </si>
  <si>
    <t>Седова 15</t>
  </si>
  <si>
    <t>1277,5 кв. м.</t>
  </si>
  <si>
    <t>2980,3 кв. м. - грунт;
1923,5 кв. м. - асфальт</t>
  </si>
  <si>
    <t>Седова 15а</t>
  </si>
  <si>
    <t>1939,8 кв. м.</t>
  </si>
  <si>
    <t>1151,2 кв. м. - грунт;
703 кв. м. - асфальт</t>
  </si>
  <si>
    <t>Седова 21</t>
  </si>
  <si>
    <t>2146,9 кв. м.</t>
  </si>
  <si>
    <t>1173,5 кв. м. - грунт;
528,6 кв. м. - асфальт</t>
  </si>
  <si>
    <t>Седова 23</t>
  </si>
  <si>
    <t>1500 кв. м.</t>
  </si>
  <si>
    <t>Седова 25</t>
  </si>
  <si>
    <t>1306,8 кв. м.</t>
  </si>
  <si>
    <t>Степана Разина 28</t>
  </si>
  <si>
    <t>987,2 кв. м.</t>
  </si>
  <si>
    <t>1587,7 кв. м. - грунт;
576 кв. м. - асфальт</t>
  </si>
  <si>
    <t>Трудовая 7а</t>
  </si>
  <si>
    <t>416,9 кв. м.</t>
  </si>
  <si>
    <t>747,6 кв. м. - грунт</t>
  </si>
  <si>
    <t>Трудовая 36а</t>
  </si>
  <si>
    <t>577,6 кв. м. - грунт</t>
  </si>
  <si>
    <t>Трудовая 40а</t>
  </si>
  <si>
    <t>345,5 кв. м.</t>
  </si>
  <si>
    <t>933,2 кв. м. - грунт</t>
  </si>
  <si>
    <t>Щорса 16</t>
  </si>
  <si>
    <t>488,9 кв. м.</t>
  </si>
  <si>
    <t>Директор ООО "Партнер-1"</t>
  </si>
  <si>
    <t>Главный бухгалтер ООО "Партнер-1"</t>
  </si>
  <si>
    <t>Экономист ООО "Партнер-1"</t>
  </si>
  <si>
    <t>Инженер по ремонту ООО "Партнер-1"</t>
  </si>
  <si>
    <t>Транспортные расходы при санитарной очистке территорий</t>
  </si>
  <si>
    <t>Техническое обслуживание внутридомового газового 
оборудования</t>
  </si>
  <si>
    <t>Рентабельность</t>
  </si>
  <si>
    <t>Плановые затраты (руб.)</t>
  </si>
  <si>
    <t>Фактические затраты (руб.)</t>
  </si>
  <si>
    <t>3.Выполнено</t>
  </si>
  <si>
    <t>Итого</t>
  </si>
  <si>
    <r>
      <rPr>
        <b/>
        <sz val="10"/>
        <color theme="1"/>
        <rFont val="Times New Roman"/>
        <family val="1"/>
        <charset val="204"/>
      </rPr>
      <t>Санитарное содержание лестничных клеток:</t>
    </r>
    <r>
      <rPr>
        <sz val="10"/>
        <color theme="1"/>
        <rFont val="Times New Roman"/>
        <family val="1"/>
        <charset val="204"/>
      </rPr>
      <t xml:space="preserve">
- оплата труда рабочих;
- затраты на материалы, инвентарь.</t>
    </r>
  </si>
  <si>
    <r>
      <rPr>
        <b/>
        <sz val="10"/>
        <color theme="1"/>
        <rFont val="Times New Roman"/>
        <family val="1"/>
        <charset val="204"/>
      </rPr>
      <t>Содержание аварийно-диспетчерской службы:</t>
    </r>
    <r>
      <rPr>
        <sz val="10"/>
        <color theme="1"/>
        <rFont val="Times New Roman"/>
        <family val="1"/>
        <charset val="204"/>
      </rPr>
      <t xml:space="preserve">
- оплата труда рабочих;
- затраты на инвентарь, спецодежду;
- транспортные расходы</t>
    </r>
  </si>
  <si>
    <t>Обслуживание ОПУ тепловой энергии</t>
  </si>
  <si>
    <t>Трудовая 2а</t>
  </si>
  <si>
    <t>Трудовая 4а</t>
  </si>
  <si>
    <t>Виды работ и затрат</t>
  </si>
  <si>
    <t>периодичность выполнения работ и услуг</t>
  </si>
  <si>
    <t>единица измерения работы/       услуги</t>
  </si>
  <si>
    <t>стоимость выполненной работы/оказанной услуги</t>
  </si>
  <si>
    <t>согласно договора  управления МКД</t>
  </si>
  <si>
    <t>руб.</t>
  </si>
  <si>
    <r>
      <rPr>
        <b/>
        <sz val="10"/>
        <color theme="1"/>
        <rFont val="Times New Roman"/>
        <family val="1"/>
        <charset val="204"/>
      </rPr>
      <t>Санитарное содержание придомовой территории:</t>
    </r>
    <r>
      <rPr>
        <sz val="10"/>
        <color theme="1"/>
        <rFont val="Times New Roman"/>
        <family val="1"/>
        <charset val="204"/>
      </rPr>
      <t xml:space="preserve">
- оплата труда рабочих;
- затраты на материалы инвентарь;
- покос сорных трав</t>
    </r>
  </si>
  <si>
    <t xml:space="preserve">согласно договора  </t>
  </si>
  <si>
    <t>постоянно</t>
  </si>
  <si>
    <r>
      <rPr>
        <b/>
        <sz val="10"/>
        <color theme="1"/>
        <rFont val="Times New Roman"/>
        <family val="1"/>
        <charset val="204"/>
      </rPr>
      <t>Профилактические осмотры внутридомового инженерного
оборудования и конструктивных элементов МКД:</t>
    </r>
    <r>
      <rPr>
        <sz val="10"/>
        <color theme="1"/>
        <rFont val="Times New Roman"/>
        <family val="1"/>
        <charset val="204"/>
      </rPr>
      <t xml:space="preserve">
- затраты на весенние и осенние проверки готовности МКД к эксплуатации;
- затраты на внеочередные осмотры (после ливней, ураганных ветров, снегопадов и других явлений стихийного характера; в случае аварий на внешних коммуникациях и др.);
- ведение документов по учету технического состояния зданий</t>
    </r>
  </si>
  <si>
    <t xml:space="preserve">Текущий ремонт </t>
  </si>
  <si>
    <t>начислено всего</t>
  </si>
  <si>
    <t>Т. В. Павлова</t>
  </si>
  <si>
    <t>Приложение № 1</t>
  </si>
  <si>
    <t>Приложение № 4</t>
  </si>
  <si>
    <t>к протоколу №____общего собрания собственников</t>
  </si>
  <si>
    <t>К. Либкнехта 2/2Н</t>
  </si>
  <si>
    <t>388,1 кв. м.</t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</si>
  <si>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-амортизация;                                                                                     - транспортные расходы;                                                                   - затраты на канц. товары, телефонную связь, на орг. технику;                  - услуги банка, статистики;                                                                  - услуги информационно-вычислительного центра.</t>
    </r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</si>
  <si>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-амортизация;                                                                                     - транспортные расходы;                                                                   - затраты на канц. товары, телефонную связь, на орг. технику;                                                                                        - услуги банка, статистики;                                                                  - услуги информационно-вычислительного центра.</t>
    </r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</si>
  <si>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     -амортизация;                                                                                         - транспортные расходы;                                                                        - затраты на канц. товары, телефонную связь, на орг. технику;                                                                                        - услуги банка, статистики;                                                                     - услуги информационно-вычислительного центра.</t>
    </r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</si>
  <si>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                                                         -амортизация;                                                                                         - транспортные расходы;                                                                        - затраты на канц. товары, телефонную связь, на орг. технику;                                                                                        - услуги банка, статистики;                                                                     - услуги информационно-вычислительного центра.</t>
    </r>
  </si>
  <si>
    <t>согласно договора  оказания услуг по содержанию и выполнению работ по ремонту общего имущества МКД</t>
  </si>
  <si>
    <t>круглосуточно</t>
  </si>
  <si>
    <t>612,6 кв. м</t>
  </si>
  <si>
    <t>Возврат за размещения имущества ОАО "Ростелеком"</t>
  </si>
  <si>
    <t>Разница                       (+) экономия, (-) долг</t>
  </si>
  <si>
    <t>634,5 кв. м</t>
  </si>
  <si>
    <t xml:space="preserve">круглосуточно </t>
  </si>
  <si>
    <t>375 кв. м</t>
  </si>
  <si>
    <t>1284,4 кв. м</t>
  </si>
  <si>
    <t>885 кв. м</t>
  </si>
  <si>
    <t>975,3 кв. м</t>
  </si>
  <si>
    <t>481,2 кв. м</t>
  </si>
  <si>
    <t>538,2 кв. м</t>
  </si>
  <si>
    <t>531,5 кв. м</t>
  </si>
  <si>
    <t>1006,2 кв. м</t>
  </si>
  <si>
    <t>368,5 кв. м</t>
  </si>
  <si>
    <t>364,3 кв. м</t>
  </si>
  <si>
    <t>624,1 кв. м</t>
  </si>
  <si>
    <t>635,4 кв. м</t>
  </si>
  <si>
    <t>371,7 кв. м</t>
  </si>
  <si>
    <t>615,3 кв. м</t>
  </si>
  <si>
    <t>534,5 кв. м</t>
  </si>
  <si>
    <t>606,4 кв. м</t>
  </si>
  <si>
    <t>2709,2 кв. м</t>
  </si>
  <si>
    <t>2661,7 кв. м</t>
  </si>
  <si>
    <t>1086,6 кв. м</t>
  </si>
  <si>
    <t>561,4 кв. м</t>
  </si>
  <si>
    <t>624,9 кв. м</t>
  </si>
  <si>
    <t>393,3 кв. м</t>
  </si>
  <si>
    <t>642,7 кв. м</t>
  </si>
  <si>
    <t>405,4 кв. м</t>
  </si>
  <si>
    <t>601,6 кв. м</t>
  </si>
  <si>
    <t>623,9 кв. м</t>
  </si>
  <si>
    <t>622,1 кв. м</t>
  </si>
  <si>
    <t>373,9 кв. м</t>
  </si>
  <si>
    <t>281,5 кв. м</t>
  </si>
  <si>
    <t>640,9 кв. м</t>
  </si>
  <si>
    <t>537,2 кв. м</t>
  </si>
  <si>
    <t>480,3 кв. м</t>
  </si>
  <si>
    <t>575,5 кв. м</t>
  </si>
  <si>
    <t>315,8 кв. м</t>
  </si>
  <si>
    <t>627,8 кв. м</t>
  </si>
  <si>
    <t>376,1 кв. м</t>
  </si>
  <si>
    <t>638,7 кв. м</t>
  </si>
  <si>
    <t>437,1 кв. м</t>
  </si>
  <si>
    <t>435,5 кв. м</t>
  </si>
  <si>
    <t>611,6 кв. м</t>
  </si>
  <si>
    <t>848,3 кв. м</t>
  </si>
  <si>
    <t>549,5 кв. м</t>
  </si>
  <si>
    <t>1163,4 кв. м</t>
  </si>
  <si>
    <t>1736,8 кв. м</t>
  </si>
  <si>
    <t>1819 кв. м</t>
  </si>
  <si>
    <t>1387,1 кв. м</t>
  </si>
  <si>
    <t>1198,2 кв. м</t>
  </si>
  <si>
    <t>899,8 кв. м</t>
  </si>
  <si>
    <t>882,1 кв. м</t>
  </si>
  <si>
    <t>844,8 кв. м</t>
  </si>
  <si>
    <t>364,6 кв. м</t>
  </si>
  <si>
    <t>364,9 кв. м</t>
  </si>
  <si>
    <t>364,4 кв. м</t>
  </si>
  <si>
    <t>434,8 кв. м</t>
  </si>
  <si>
    <t>сод.жилья</t>
  </si>
  <si>
    <t>встроенные</t>
  </si>
  <si>
    <t>тек. ремонт</t>
  </si>
  <si>
    <t>543,2 кв. м.</t>
  </si>
  <si>
    <t>757,8 кв. м.</t>
  </si>
  <si>
    <t>269,4 кв. м.</t>
  </si>
  <si>
    <t>83,2 кв. м.</t>
  </si>
  <si>
    <t>162,4 кв. м.</t>
  </si>
  <si>
    <r>
      <t>4.Остаток на начало отчетного периода</t>
    </r>
    <r>
      <rPr>
        <sz val="8"/>
        <color theme="1"/>
        <rFont val="Times New Roman"/>
        <family val="1"/>
        <charset val="204"/>
      </rPr>
      <t xml:space="preserve"> ("Оплачено" минус "Выполнено")
("-" - перевыполнено работ (долг); "+" - недовыполнено работ (экономия))</t>
    </r>
  </si>
  <si>
    <r>
      <t>4.Остаток на конец отчетного периода</t>
    </r>
    <r>
      <rPr>
        <sz val="8"/>
        <color theme="1"/>
        <rFont val="Times New Roman"/>
        <family val="1"/>
        <charset val="204"/>
      </rPr>
      <t xml:space="preserve"> ("Оплачено" минус "Выполнено")
("-" - перевыполнено работ (долг); "+" - недовыполнено работ (экономия))</t>
    </r>
  </si>
  <si>
    <r>
      <rPr>
        <b/>
        <sz val="10"/>
        <color theme="1"/>
        <rFont val="Times New Roman"/>
        <family val="1"/>
        <charset val="204"/>
      </rPr>
      <t>Общеэксплуатационные расходы:</t>
    </r>
    <r>
      <rPr>
        <sz val="10"/>
        <color theme="1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      -амортизация;                                                                                        - транспортные расходы;                                                                     - затраты на канц. товары, телефонную связь, на орг. технику;                  - услуги банка, статистики;                                                                  - услуги информационно-вычислительного центра.</t>
    </r>
  </si>
  <si>
    <t xml:space="preserve"> </t>
  </si>
  <si>
    <t>начислено содержание жилья</t>
  </si>
  <si>
    <t>факт содержание жилья</t>
  </si>
  <si>
    <t>Либкнехта 1/2</t>
  </si>
  <si>
    <t>помещения МКД № 1/2Н по ул. Либкнехта, г. Новошахтинска</t>
  </si>
  <si>
    <t>помещения МКД № 2/2Н по ул. Либкнехта, г. Новошахтинска</t>
  </si>
  <si>
    <t>помещения МКД № 21 по ул. Седова, г. Новошахтинска</t>
  </si>
  <si>
    <t>_______________________________</t>
  </si>
  <si>
    <r>
      <t>4.Остаток на начало отчетного периода</t>
    </r>
    <r>
      <rPr>
        <sz val="8"/>
        <rFont val="Times New Roman"/>
        <family val="1"/>
        <charset val="204"/>
      </rPr>
      <t xml:space="preserve"> ("Оплачено" минус "Выполнено")
("-" - перевыполнено работ (долг); "+" - недовыполнено работ (экономия))</t>
    </r>
  </si>
  <si>
    <r>
      <rPr>
        <b/>
        <sz val="10"/>
        <rFont val="Times New Roman"/>
        <family val="1"/>
        <charset val="204"/>
      </rPr>
      <t>Санитарное содержание лестничных клеток:</t>
    </r>
    <r>
      <rPr>
        <sz val="10"/>
        <rFont val="Times New Roman"/>
        <family val="1"/>
        <charset val="204"/>
      </rPr>
      <t xml:space="preserve">
- оплата труда рабочих;
- затраты на материалы, инвентарь.</t>
    </r>
  </si>
  <si>
    <r>
      <rPr>
        <b/>
        <sz val="10"/>
        <rFont val="Times New Roman"/>
        <family val="1"/>
        <charset val="204"/>
      </rPr>
      <t>Санитарное содержание придомовой территории:</t>
    </r>
    <r>
      <rPr>
        <sz val="10"/>
        <rFont val="Times New Roman"/>
        <family val="1"/>
        <charset val="204"/>
      </rPr>
      <t xml:space="preserve">
- оплата труда рабочих;
- затраты на материалы инвентарь;
- покос сорных трав</t>
    </r>
  </si>
  <si>
    <r>
      <rPr>
        <b/>
        <sz val="10"/>
        <rFont val="Times New Roman"/>
        <family val="1"/>
        <charset val="204"/>
      </rPr>
      <t>Содержание аварийно-диспетчерской службы:</t>
    </r>
    <r>
      <rPr>
        <sz val="10"/>
        <rFont val="Times New Roman"/>
        <family val="1"/>
        <charset val="204"/>
      </rPr>
      <t xml:space="preserve">
- оплата труда рабочих;
- затраты на инвентарь, спецодежду;
- транспортные расходы</t>
    </r>
  </si>
  <si>
    <r>
      <rPr>
        <b/>
        <sz val="10"/>
        <rFont val="Times New Roman"/>
        <family val="1"/>
        <charset val="204"/>
      </rPr>
      <t>Общеэксплуатационные расходы:</t>
    </r>
    <r>
      <rPr>
        <sz val="10"/>
        <rFont val="Times New Roman"/>
        <family val="1"/>
        <charset val="204"/>
      </rPr>
      <t xml:space="preserve">
- составление сметных расчетов;
- делопроизводство и хранение документации;
- правовая работа, взаимодействие с местными органами власти;
- планирование работ по содержанию и ремонту МКД;
- ведение электронной базы данных;
- расчет размера платы за жилищные услуги;
- анализ финансово-хозяйственной деятельности, составление отчета о выполнении договора оказания услуг;
- обеспечение бухгалтерского и налогового учета;
- информационно-разъяснительная работа с собственниками                                                                     -амортизация;                                                                                         - транспортные расходы;                                                                        - затраты на канц. товары, телефонную связь, на орг. технику;                                                                                        - услуги банка, статистики;                                                                     - услуги информационно-вычислительного центра.</t>
    </r>
  </si>
  <si>
    <r>
      <rPr>
        <b/>
        <sz val="10"/>
        <rFont val="Times New Roman"/>
        <family val="1"/>
        <charset val="204"/>
      </rPr>
      <t>Профилактические осмотры внутридомового инженерного
оборудования и конструктивных элементов МКД:</t>
    </r>
    <r>
      <rPr>
        <sz val="10"/>
        <rFont val="Times New Roman"/>
        <family val="1"/>
        <charset val="204"/>
      </rPr>
      <t xml:space="preserve">
- затраты на весенние и осенние проверки готовности МКД к эксплуатации;
- затраты на внеочередные осмотры (после ливней, ураганных ветров, снегопадов и других явлений стихийного характера; в случае аварий на внешних коммуникациях и др.);
- ведение документов по учету технического состояния зданий</t>
    </r>
  </si>
  <si>
    <r>
      <t>4.Остаток на конец отчетного периода</t>
    </r>
    <r>
      <rPr>
        <sz val="8"/>
        <rFont val="Times New Roman"/>
        <family val="1"/>
        <charset val="204"/>
      </rPr>
      <t xml:space="preserve"> ("Оплачено" минус "Выполнено")
("-" - перевыполнено работ (долг); "+" - недовыполнено работ (экономия))</t>
    </r>
  </si>
  <si>
    <t>единица измерения работы/              услуги</t>
  </si>
  <si>
    <t>Р.А. Абдуллаев</t>
  </si>
  <si>
    <t>Н.Е. Потокина</t>
  </si>
  <si>
    <t>Переходящие остатки денежных средств на 01.01.2025 года</t>
  </si>
  <si>
    <t>период с 01.07.2013 года по 01.01.2025 года</t>
  </si>
  <si>
    <t>плюс ВДГО</t>
  </si>
  <si>
    <t>Айвазовского 14</t>
  </si>
  <si>
    <t>Трудовая 6а</t>
  </si>
  <si>
    <t>от _______________________2026 г.</t>
  </si>
  <si>
    <t>Ежегодный отчет Управляющей организации ООО "Партнер-1" о выполнении Договора о деятельности за отчетный период с 01.01.2025 г. по 31.12.2025 г.</t>
  </si>
  <si>
    <t>Отчет об оказанных услугах и выполненных работах по содержанию и текущему ремонту общего имущества в МКД за 2025 год</t>
  </si>
  <si>
    <t>ст-ть на 1 кв. м общей жилой  площади (руб. в мес.)  2025</t>
  </si>
  <si>
    <t>Переходящие остатки денежных средств на 01.01.2026 года</t>
  </si>
  <si>
    <t>период с 01.07.2013 года по 01.01.2026 года</t>
  </si>
  <si>
    <t>Ежегодный отчет  ООО "Партнер-1" о выполнении Договора о деятельности за отчетный период с 01.01.2025 г. по 31.12.2025 г.</t>
  </si>
</sst>
</file>

<file path=xl/styles.xml><?xml version="1.0" encoding="utf-8"?>
<styleSheet xmlns="http://schemas.openxmlformats.org/spreadsheetml/2006/main">
  <numFmts count="3">
    <numFmt numFmtId="164" formatCode="#&quot; &quot;?/4"/>
    <numFmt numFmtId="165" formatCode="0.000"/>
    <numFmt numFmtId="166" formatCode="0.0000"/>
  </numFmts>
  <fonts count="2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b/>
      <i/>
      <u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/>
    <xf numFmtId="2" fontId="4" fillId="0" borderId="0" xfId="0" applyNumberFormat="1" applyFont="1" applyFill="1"/>
    <xf numFmtId="0" fontId="4" fillId="0" borderId="0" xfId="0" applyFont="1" applyFill="1"/>
    <xf numFmtId="0" fontId="1" fillId="0" borderId="0" xfId="0" applyFont="1" applyFill="1"/>
    <xf numFmtId="2" fontId="2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11" fillId="0" borderId="34" xfId="0" applyFont="1" applyFill="1" applyBorder="1" applyAlignment="1">
      <alignment horizontal="left" vertical="center" wrapText="1"/>
    </xf>
    <xf numFmtId="0" fontId="2" fillId="0" borderId="0" xfId="0" applyFont="1" applyFill="1" applyBorder="1"/>
    <xf numFmtId="0" fontId="2" fillId="0" borderId="0" xfId="0" applyFont="1" applyFill="1"/>
    <xf numFmtId="2" fontId="2" fillId="0" borderId="0" xfId="0" applyNumberFormat="1" applyFont="1" applyFill="1" applyBorder="1"/>
    <xf numFmtId="16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166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 shrinkToFit="1"/>
    </xf>
    <xf numFmtId="2" fontId="1" fillId="0" borderId="0" xfId="0" applyNumberFormat="1" applyFont="1" applyFill="1"/>
    <xf numFmtId="0" fontId="9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vertical="top" wrapText="1"/>
    </xf>
    <xf numFmtId="0" fontId="8" fillId="0" borderId="34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36" xfId="0" applyNumberFormat="1" applyFont="1" applyFill="1" applyBorder="1" applyAlignment="1">
      <alignment horizontal="center" vertical="center" wrapText="1"/>
    </xf>
    <xf numFmtId="2" fontId="6" fillId="0" borderId="2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2" fontId="6" fillId="0" borderId="0" xfId="0" applyNumberFormat="1" applyFont="1" applyFill="1"/>
    <xf numFmtId="0" fontId="2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8" fillId="0" borderId="9" xfId="0" applyFont="1" applyFill="1" applyBorder="1" applyAlignment="1">
      <alignment horizontal="left" wrapText="1"/>
    </xf>
    <xf numFmtId="0" fontId="8" fillId="0" borderId="34" xfId="0" applyFont="1" applyFill="1" applyBorder="1" applyAlignment="1">
      <alignment horizontal="left" vertical="center" wrapText="1"/>
    </xf>
    <xf numFmtId="2" fontId="6" fillId="0" borderId="2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/>
    <xf numFmtId="0" fontId="6" fillId="0" borderId="11" xfId="0" applyFont="1" applyFill="1" applyBorder="1"/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7" xfId="0" applyNumberFormat="1" applyFont="1" applyFill="1" applyBorder="1" applyAlignment="1">
      <alignment horizontal="center" vertical="center"/>
    </xf>
    <xf numFmtId="2" fontId="6" fillId="0" borderId="17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6" fillId="0" borderId="38" xfId="0" applyFont="1" applyFill="1" applyBorder="1" applyAlignment="1">
      <alignment vertical="top" wrapText="1"/>
    </xf>
    <xf numFmtId="0" fontId="8" fillId="0" borderId="39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12" xfId="0" applyFont="1" applyFill="1" applyBorder="1"/>
    <xf numFmtId="2" fontId="6" fillId="0" borderId="1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2" fontId="1" fillId="0" borderId="0" xfId="0" applyNumberFormat="1" applyFont="1" applyFill="1" applyBorder="1"/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 wrapText="1"/>
    </xf>
    <xf numFmtId="0" fontId="6" fillId="0" borderId="6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18" xfId="0" applyFont="1" applyFill="1" applyBorder="1" applyAlignment="1">
      <alignment vertical="top" wrapText="1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6" fillId="0" borderId="4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2" fillId="0" borderId="2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24" xfId="0" applyNumberFormat="1" applyFont="1" applyFill="1" applyBorder="1" applyAlignment="1"/>
    <xf numFmtId="2" fontId="2" fillId="0" borderId="0" xfId="0" applyNumberFormat="1" applyFont="1" applyFill="1" applyBorder="1" applyAlignment="1"/>
    <xf numFmtId="0" fontId="6" fillId="0" borderId="0" xfId="0" applyFont="1" applyFill="1" applyAlignment="1"/>
    <xf numFmtId="0" fontId="1" fillId="0" borderId="0" xfId="0" applyFont="1" applyFill="1" applyAlignment="1">
      <alignment horizontal="center" vertical="center" wrapText="1"/>
    </xf>
    <xf numFmtId="0" fontId="8" fillId="0" borderId="13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33" xfId="0" applyFont="1" applyFill="1" applyBorder="1"/>
    <xf numFmtId="0" fontId="2" fillId="0" borderId="3" xfId="0" applyFont="1" applyFill="1" applyBorder="1"/>
    <xf numFmtId="0" fontId="2" fillId="0" borderId="18" xfId="0" applyFont="1" applyFill="1" applyBorder="1"/>
    <xf numFmtId="0" fontId="6" fillId="0" borderId="6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2" fontId="2" fillId="0" borderId="35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2" fontId="2" fillId="0" borderId="41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wrapText="1"/>
    </xf>
    <xf numFmtId="2" fontId="2" fillId="0" borderId="40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wrapText="1"/>
    </xf>
    <xf numFmtId="2" fontId="6" fillId="0" borderId="37" xfId="0" applyNumberFormat="1" applyFont="1" applyFill="1" applyBorder="1" applyAlignment="1">
      <alignment horizontal="center" wrapText="1"/>
    </xf>
    <xf numFmtId="2" fontId="6" fillId="0" borderId="37" xfId="0" applyNumberFormat="1" applyFont="1" applyFill="1" applyBorder="1" applyAlignment="1">
      <alignment horizontal="center"/>
    </xf>
    <xf numFmtId="2" fontId="6" fillId="0" borderId="10" xfId="0" applyNumberFormat="1" applyFont="1" applyFill="1" applyBorder="1" applyAlignment="1">
      <alignment horizontal="center" vertical="center"/>
    </xf>
    <xf numFmtId="0" fontId="8" fillId="0" borderId="0" xfId="0" applyFont="1" applyFill="1"/>
    <xf numFmtId="2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wrapText="1"/>
    </xf>
    <xf numFmtId="2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16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2" fontId="3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0" fontId="15" fillId="0" borderId="0" xfId="0" applyFont="1" applyFill="1" applyAlignment="1">
      <alignment vertical="center" wrapText="1"/>
    </xf>
    <xf numFmtId="0" fontId="16" fillId="0" borderId="0" xfId="0" applyFont="1" applyFill="1"/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center" vertical="center" wrapText="1"/>
    </xf>
    <xf numFmtId="2" fontId="14" fillId="0" borderId="0" xfId="0" applyNumberFormat="1" applyFont="1" applyFill="1"/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6" fillId="0" borderId="33" xfId="0" applyFont="1" applyFill="1" applyBorder="1"/>
    <xf numFmtId="0" fontId="16" fillId="0" borderId="3" xfId="0" applyFont="1" applyFill="1" applyBorder="1"/>
    <xf numFmtId="0" fontId="16" fillId="0" borderId="18" xfId="0" applyFont="1" applyFill="1" applyBorder="1"/>
    <xf numFmtId="0" fontId="16" fillId="0" borderId="1" xfId="0" applyFont="1" applyFill="1" applyBorder="1" applyAlignment="1">
      <alignment wrapText="1"/>
    </xf>
    <xf numFmtId="0" fontId="16" fillId="0" borderId="33" xfId="0" applyFont="1" applyFill="1" applyBorder="1" applyAlignment="1">
      <alignment vertical="top" wrapText="1"/>
    </xf>
    <xf numFmtId="0" fontId="19" fillId="0" borderId="34" xfId="0" applyFont="1" applyFill="1" applyBorder="1" applyAlignment="1">
      <alignment horizontal="center" vertical="center" wrapText="1"/>
    </xf>
    <xf numFmtId="2" fontId="16" fillId="0" borderId="35" xfId="0" applyNumberFormat="1" applyFont="1" applyFill="1" applyBorder="1" applyAlignment="1">
      <alignment horizontal="center" vertical="center"/>
    </xf>
    <xf numFmtId="2" fontId="16" fillId="0" borderId="3" xfId="0" applyNumberFormat="1" applyFont="1" applyFill="1" applyBorder="1" applyAlignment="1">
      <alignment horizontal="center" vertical="center" wrapText="1"/>
    </xf>
    <xf numFmtId="2" fontId="16" fillId="0" borderId="36" xfId="0" applyNumberFormat="1" applyFont="1" applyFill="1" applyBorder="1" applyAlignment="1">
      <alignment horizontal="center" vertical="center" wrapText="1"/>
    </xf>
    <xf numFmtId="2" fontId="18" fillId="0" borderId="2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2" fontId="18" fillId="0" borderId="0" xfId="0" applyNumberFormat="1" applyFont="1" applyFill="1"/>
    <xf numFmtId="0" fontId="16" fillId="0" borderId="3" xfId="0" applyFont="1" applyFill="1" applyBorder="1" applyAlignment="1">
      <alignment vertical="top" wrapText="1"/>
    </xf>
    <xf numFmtId="2" fontId="16" fillId="0" borderId="8" xfId="0" applyNumberFormat="1" applyFont="1" applyFill="1" applyBorder="1" applyAlignment="1">
      <alignment horizontal="center" vertical="center"/>
    </xf>
    <xf numFmtId="2" fontId="16" fillId="0" borderId="5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/>
    <xf numFmtId="0" fontId="17" fillId="0" borderId="0" xfId="0" applyFont="1" applyFill="1"/>
    <xf numFmtId="0" fontId="18" fillId="0" borderId="3" xfId="0" applyFont="1" applyFill="1" applyBorder="1" applyAlignment="1">
      <alignment vertical="top" wrapText="1"/>
    </xf>
    <xf numFmtId="0" fontId="14" fillId="0" borderId="0" xfId="0" applyFont="1" applyFill="1" applyBorder="1"/>
    <xf numFmtId="0" fontId="19" fillId="0" borderId="9" xfId="0" applyFont="1" applyFill="1" applyBorder="1" applyAlignment="1">
      <alignment horizontal="left" wrapText="1"/>
    </xf>
    <xf numFmtId="0" fontId="19" fillId="0" borderId="34" xfId="0" applyFont="1" applyFill="1" applyBorder="1" applyAlignment="1">
      <alignment horizontal="left" vertical="center" wrapText="1"/>
    </xf>
    <xf numFmtId="2" fontId="17" fillId="0" borderId="0" xfId="0" applyNumberFormat="1" applyFont="1" applyFill="1"/>
    <xf numFmtId="0" fontId="18" fillId="0" borderId="38" xfId="0" applyFont="1" applyFill="1" applyBorder="1" applyAlignment="1">
      <alignment vertical="top" wrapText="1"/>
    </xf>
    <xf numFmtId="0" fontId="19" fillId="0" borderId="39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center" vertical="center" wrapText="1"/>
    </xf>
    <xf numFmtId="2" fontId="16" fillId="0" borderId="40" xfId="0" applyNumberFormat="1" applyFont="1" applyFill="1" applyBorder="1" applyAlignment="1">
      <alignment horizontal="center" vertical="center"/>
    </xf>
    <xf numFmtId="2" fontId="18" fillId="0" borderId="26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/>
    <xf numFmtId="0" fontId="18" fillId="0" borderId="12" xfId="0" applyFont="1" applyFill="1" applyBorder="1"/>
    <xf numFmtId="2" fontId="18" fillId="0" borderId="16" xfId="0" applyNumberFormat="1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Fill="1" applyBorder="1" applyAlignment="1">
      <alignment horizontal="center" vertical="center"/>
    </xf>
    <xf numFmtId="2" fontId="18" fillId="0" borderId="17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wrapText="1"/>
    </xf>
    <xf numFmtId="0" fontId="16" fillId="0" borderId="24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2" fontId="16" fillId="0" borderId="24" xfId="0" applyNumberFormat="1" applyFont="1" applyFill="1" applyBorder="1" applyAlignment="1"/>
    <xf numFmtId="2" fontId="16" fillId="0" borderId="0" xfId="0" applyNumberFormat="1" applyFont="1" applyFill="1" applyBorder="1" applyAlignment="1"/>
    <xf numFmtId="0" fontId="16" fillId="0" borderId="0" xfId="0" applyFont="1" applyFill="1" applyBorder="1"/>
    <xf numFmtId="2" fontId="16" fillId="0" borderId="0" xfId="0" applyNumberFormat="1" applyFont="1" applyFill="1" applyBorder="1"/>
    <xf numFmtId="0" fontId="18" fillId="0" borderId="0" xfId="0" applyFont="1" applyFill="1" applyAlignment="1"/>
    <xf numFmtId="0" fontId="11" fillId="0" borderId="0" xfId="0" applyFont="1" applyFill="1" applyAlignment="1">
      <alignment horizontal="center"/>
    </xf>
    <xf numFmtId="0" fontId="16" fillId="0" borderId="0" xfId="0" applyFont="1" applyFill="1" applyAlignment="1">
      <alignment horizontal="left"/>
    </xf>
    <xf numFmtId="2" fontId="14" fillId="0" borderId="0" xfId="0" applyNumberFormat="1" applyFont="1" applyFill="1" applyBorder="1"/>
    <xf numFmtId="0" fontId="21" fillId="0" borderId="0" xfId="0" applyFont="1" applyFill="1"/>
    <xf numFmtId="0" fontId="22" fillId="0" borderId="0" xfId="0" applyFont="1" applyFill="1"/>
    <xf numFmtId="0" fontId="21" fillId="0" borderId="0" xfId="0" applyFont="1" applyFill="1" applyAlignment="1">
      <alignment horizontal="center" vertical="center"/>
    </xf>
    <xf numFmtId="2" fontId="23" fillId="0" borderId="0" xfId="0" applyNumberFormat="1" applyFont="1" applyFill="1"/>
    <xf numFmtId="0" fontId="21" fillId="0" borderId="0" xfId="0" applyFont="1" applyFill="1" applyBorder="1" applyAlignment="1">
      <alignment horizontal="center" vertical="center"/>
    </xf>
    <xf numFmtId="0" fontId="23" fillId="0" borderId="0" xfId="0" applyFont="1" applyFill="1" applyBorder="1"/>
    <xf numFmtId="2" fontId="21" fillId="0" borderId="0" xfId="0" applyNumberFormat="1" applyFont="1" applyFill="1"/>
    <xf numFmtId="2" fontId="24" fillId="0" borderId="0" xfId="0" applyNumberFormat="1" applyFont="1" applyFill="1"/>
    <xf numFmtId="0" fontId="23" fillId="0" borderId="0" xfId="0" applyFont="1" applyFill="1"/>
    <xf numFmtId="2" fontId="22" fillId="0" borderId="0" xfId="0" applyNumberFormat="1" applyFont="1" applyFill="1"/>
    <xf numFmtId="0" fontId="21" fillId="0" borderId="0" xfId="0" applyFont="1" applyFill="1" applyBorder="1"/>
    <xf numFmtId="0" fontId="24" fillId="0" borderId="0" xfId="0" applyFont="1" applyFill="1" applyAlignment="1">
      <alignment horizontal="center" vertical="center"/>
    </xf>
    <xf numFmtId="2" fontId="16" fillId="0" borderId="0" xfId="0" applyNumberFormat="1" applyFont="1" applyFill="1"/>
    <xf numFmtId="2" fontId="24" fillId="0" borderId="0" xfId="0" applyNumberFormat="1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/>
    <xf numFmtId="2" fontId="18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wrapText="1"/>
    </xf>
    <xf numFmtId="0" fontId="21" fillId="0" borderId="4" xfId="0" applyFont="1" applyFill="1" applyBorder="1"/>
    <xf numFmtId="2" fontId="21" fillId="0" borderId="4" xfId="0" applyNumberFormat="1" applyFont="1" applyFill="1" applyBorder="1"/>
    <xf numFmtId="0" fontId="21" fillId="0" borderId="44" xfId="0" applyFont="1" applyFill="1" applyBorder="1" applyAlignment="1">
      <alignment vertical="center" wrapText="1"/>
    </xf>
    <xf numFmtId="0" fontId="21" fillId="0" borderId="45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2" fontId="2" fillId="0" borderId="24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2" fontId="2" fillId="0" borderId="0" xfId="0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/>
    </xf>
    <xf numFmtId="2" fontId="2" fillId="0" borderId="16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19" xfId="0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2" fontId="2" fillId="0" borderId="46" xfId="0" applyNumberFormat="1" applyFont="1" applyFill="1" applyBorder="1" applyAlignment="1">
      <alignment horizontal="center"/>
    </xf>
    <xf numFmtId="2" fontId="2" fillId="0" borderId="47" xfId="0" applyNumberFormat="1" applyFont="1" applyFill="1" applyBorder="1" applyAlignment="1">
      <alignment horizontal="center"/>
    </xf>
    <xf numFmtId="2" fontId="2" fillId="0" borderId="29" xfId="0" applyNumberFormat="1" applyFont="1" applyFill="1" applyBorder="1" applyAlignment="1">
      <alignment horizontal="center"/>
    </xf>
    <xf numFmtId="0" fontId="21" fillId="0" borderId="44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 wrapText="1" shrinkToFit="1"/>
    </xf>
    <xf numFmtId="0" fontId="9" fillId="0" borderId="31" xfId="0" applyFont="1" applyFill="1" applyBorder="1" applyAlignment="1">
      <alignment horizontal="center" vertical="center" wrapText="1" shrinkToFit="1"/>
    </xf>
    <xf numFmtId="2" fontId="9" fillId="0" borderId="25" xfId="0" applyNumberFormat="1" applyFont="1" applyFill="1" applyBorder="1" applyAlignment="1">
      <alignment horizontal="center" vertical="center" wrapText="1"/>
    </xf>
    <xf numFmtId="2" fontId="9" fillId="0" borderId="32" xfId="0" applyNumberFormat="1" applyFont="1" applyFill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wrapText="1"/>
    </xf>
    <xf numFmtId="2" fontId="6" fillId="0" borderId="12" xfId="0" applyNumberFormat="1" applyFont="1" applyFill="1" applyBorder="1" applyAlignment="1">
      <alignment horizontal="center" wrapText="1"/>
    </xf>
    <xf numFmtId="2" fontId="6" fillId="0" borderId="16" xfId="0" applyNumberFormat="1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2" fontId="6" fillId="0" borderId="17" xfId="0" applyNumberFormat="1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 wrapText="1" shrinkToFit="1"/>
    </xf>
    <xf numFmtId="0" fontId="9" fillId="0" borderId="28" xfId="0" applyFont="1" applyFill="1" applyBorder="1" applyAlignment="1">
      <alignment horizontal="center" vertical="center" wrapText="1" shrinkToFit="1"/>
    </xf>
    <xf numFmtId="0" fontId="9" fillId="0" borderId="29" xfId="0" applyFont="1" applyFill="1" applyBorder="1" applyAlignment="1">
      <alignment horizontal="center" vertical="center" wrapText="1" shrinkToFi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2" fontId="2" fillId="0" borderId="40" xfId="0" applyNumberFormat="1" applyFont="1" applyFill="1" applyBorder="1" applyAlignment="1">
      <alignment horizontal="center"/>
    </xf>
    <xf numFmtId="2" fontId="2" fillId="0" borderId="39" xfId="0" applyNumberFormat="1" applyFont="1" applyFill="1" applyBorder="1" applyAlignment="1">
      <alignment horizontal="center"/>
    </xf>
    <xf numFmtId="2" fontId="2" fillId="0" borderId="43" xfId="0" applyNumberFormat="1" applyFont="1" applyFill="1" applyBorder="1" applyAlignment="1">
      <alignment horizontal="center"/>
    </xf>
    <xf numFmtId="2" fontId="2" fillId="0" borderId="35" xfId="0" applyNumberFormat="1" applyFont="1" applyFill="1" applyBorder="1" applyAlignment="1">
      <alignment horizontal="center"/>
    </xf>
    <xf numFmtId="2" fontId="2" fillId="0" borderId="34" xfId="0" applyNumberFormat="1" applyFont="1" applyFill="1" applyBorder="1" applyAlignment="1">
      <alignment horizontal="center"/>
    </xf>
    <xf numFmtId="2" fontId="2" fillId="0" borderId="2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47" xfId="0" applyFont="1" applyFill="1" applyBorder="1" applyAlignment="1">
      <alignment horizontal="center"/>
    </xf>
    <xf numFmtId="0" fontId="0" fillId="0" borderId="45" xfId="0" applyFill="1" applyBorder="1"/>
    <xf numFmtId="0" fontId="0" fillId="0" borderId="12" xfId="0" applyFill="1" applyBorder="1"/>
    <xf numFmtId="0" fontId="0" fillId="0" borderId="47" xfId="0" applyFill="1" applyBorder="1"/>
    <xf numFmtId="0" fontId="0" fillId="0" borderId="9" xfId="0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29" xfId="0" applyFill="1" applyBorder="1"/>
    <xf numFmtId="0" fontId="0" fillId="0" borderId="22" xfId="0" applyFill="1" applyBorder="1"/>
    <xf numFmtId="0" fontId="0" fillId="0" borderId="11" xfId="0" applyFill="1" applyBorder="1"/>
    <xf numFmtId="0" fontId="6" fillId="0" borderId="37" xfId="0" applyFont="1" applyFill="1" applyBorder="1" applyAlignment="1">
      <alignment horizontal="left"/>
    </xf>
    <xf numFmtId="0" fontId="0" fillId="0" borderId="14" xfId="0" applyFill="1" applyBorder="1"/>
    <xf numFmtId="0" fontId="0" fillId="0" borderId="17" xfId="0" applyFill="1" applyBorder="1"/>
    <xf numFmtId="0" fontId="0" fillId="0" borderId="30" xfId="0" applyFill="1" applyBorder="1"/>
    <xf numFmtId="0" fontId="0" fillId="0" borderId="15" xfId="0" applyFill="1" applyBorder="1"/>
    <xf numFmtId="0" fontId="6" fillId="0" borderId="37" xfId="0" applyFont="1" applyFill="1" applyBorder="1" applyAlignment="1">
      <alignment horizontal="center"/>
    </xf>
    <xf numFmtId="0" fontId="25" fillId="0" borderId="45" xfId="0" applyFont="1" applyFill="1" applyBorder="1"/>
    <xf numFmtId="0" fontId="9" fillId="0" borderId="49" xfId="0" applyFont="1" applyFill="1" applyBorder="1" applyAlignment="1">
      <alignment horizontal="center" vertical="center" wrapText="1" shrinkToFit="1"/>
    </xf>
    <xf numFmtId="0" fontId="9" fillId="0" borderId="51" xfId="0" applyFont="1" applyFill="1" applyBorder="1" applyAlignment="1">
      <alignment horizontal="center" vertical="center" wrapText="1" shrinkToFit="1"/>
    </xf>
    <xf numFmtId="0" fontId="9" fillId="0" borderId="48" xfId="0" applyFont="1" applyFill="1" applyBorder="1" applyAlignment="1">
      <alignment horizontal="center" vertical="center" wrapText="1" shrinkToFit="1"/>
    </xf>
    <xf numFmtId="0" fontId="9" fillId="0" borderId="50" xfId="0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left" vertical="center"/>
    </xf>
    <xf numFmtId="0" fontId="4" fillId="0" borderId="19" xfId="0" applyFont="1" applyFill="1" applyBorder="1" applyAlignment="1">
      <alignment horizontal="center" wrapText="1" shrinkToFit="1"/>
    </xf>
    <xf numFmtId="0" fontId="9" fillId="0" borderId="4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2" fontId="2" fillId="0" borderId="24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16" fillId="0" borderId="46" xfId="0" applyNumberFormat="1" applyFont="1" applyFill="1" applyBorder="1" applyAlignment="1">
      <alignment horizontal="center"/>
    </xf>
    <xf numFmtId="2" fontId="16" fillId="0" borderId="47" xfId="0" applyNumberFormat="1" applyFont="1" applyFill="1" applyBorder="1" applyAlignment="1">
      <alignment horizontal="center"/>
    </xf>
    <xf numFmtId="2" fontId="16" fillId="0" borderId="8" xfId="0" applyNumberFormat="1" applyFont="1" applyFill="1" applyBorder="1" applyAlignment="1">
      <alignment horizontal="center"/>
    </xf>
    <xf numFmtId="2" fontId="16" fillId="0" borderId="9" xfId="0" applyNumberFormat="1" applyFont="1" applyFill="1" applyBorder="1" applyAlignment="1">
      <alignment horizontal="center"/>
    </xf>
    <xf numFmtId="2" fontId="16" fillId="0" borderId="35" xfId="0" applyNumberFormat="1" applyFont="1" applyFill="1" applyBorder="1" applyAlignment="1">
      <alignment horizontal="center"/>
    </xf>
    <xf numFmtId="2" fontId="16" fillId="0" borderId="20" xfId="0" applyNumberFormat="1" applyFont="1" applyFill="1" applyBorder="1" applyAlignment="1">
      <alignment horizontal="center"/>
    </xf>
    <xf numFmtId="2" fontId="16" fillId="0" borderId="14" xfId="0" applyNumberFormat="1" applyFont="1" applyFill="1" applyBorder="1" applyAlignment="1">
      <alignment horizontal="center"/>
    </xf>
    <xf numFmtId="2" fontId="16" fillId="0" borderId="34" xfId="0" applyNumberFormat="1" applyFont="1" applyFill="1" applyBorder="1" applyAlignment="1">
      <alignment horizontal="center"/>
    </xf>
    <xf numFmtId="2" fontId="16" fillId="0" borderId="10" xfId="0" applyNumberFormat="1" applyFont="1" applyFill="1" applyBorder="1" applyAlignment="1">
      <alignment horizontal="center"/>
    </xf>
    <xf numFmtId="2" fontId="16" fillId="0" borderId="11" xfId="0" applyNumberFormat="1" applyFont="1" applyFill="1" applyBorder="1" applyAlignment="1">
      <alignment horizontal="center"/>
    </xf>
    <xf numFmtId="2" fontId="18" fillId="0" borderId="16" xfId="0" applyNumberFormat="1" applyFont="1" applyFill="1" applyBorder="1" applyAlignment="1">
      <alignment horizontal="center" wrapText="1"/>
    </xf>
    <xf numFmtId="2" fontId="18" fillId="0" borderId="12" xfId="0" applyNumberFormat="1" applyFont="1" applyFill="1" applyBorder="1" applyAlignment="1">
      <alignment horizontal="center" wrapText="1"/>
    </xf>
    <xf numFmtId="2" fontId="18" fillId="0" borderId="16" xfId="0" applyNumberFormat="1" applyFont="1" applyFill="1" applyBorder="1" applyAlignment="1">
      <alignment horizontal="center"/>
    </xf>
    <xf numFmtId="2" fontId="18" fillId="0" borderId="17" xfId="0" applyNumberFormat="1" applyFont="1" applyFill="1" applyBorder="1" applyAlignment="1">
      <alignment horizontal="center"/>
    </xf>
    <xf numFmtId="2" fontId="16" fillId="0" borderId="29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6" fillId="0" borderId="0" xfId="0" applyFont="1" applyFill="1" applyAlignment="1">
      <alignment horizontal="left" vertical="center"/>
    </xf>
    <xf numFmtId="2" fontId="16" fillId="0" borderId="15" xfId="0" applyNumberFormat="1" applyFont="1" applyFill="1" applyBorder="1" applyAlignment="1">
      <alignment horizontal="center"/>
    </xf>
    <xf numFmtId="2" fontId="18" fillId="0" borderId="12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2" fontId="16" fillId="0" borderId="40" xfId="0" applyNumberFormat="1" applyFont="1" applyFill="1" applyBorder="1" applyAlignment="1">
      <alignment horizontal="center"/>
    </xf>
    <xf numFmtId="2" fontId="16" fillId="0" borderId="43" xfId="0" applyNumberFormat="1" applyFont="1" applyFill="1" applyBorder="1" applyAlignment="1">
      <alignment horizontal="center"/>
    </xf>
    <xf numFmtId="2" fontId="16" fillId="0" borderId="39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54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28515625" style="3" customWidth="1"/>
    <col min="3" max="3" width="22" style="10" customWidth="1"/>
    <col min="4" max="4" width="8.7109375" style="78" customWidth="1"/>
    <col min="5" max="5" width="10.140625" style="78" customWidth="1"/>
    <col min="6" max="6" width="9.85546875" style="3" customWidth="1"/>
    <col min="7" max="7" width="10.28515625" style="3" customWidth="1"/>
    <col min="8" max="10" width="11" style="78" customWidth="1"/>
    <col min="11" max="11" width="12.5703125" style="3" customWidth="1"/>
    <col min="12" max="12" width="12.85546875" style="3" customWidth="1"/>
    <col min="13" max="13" width="17.5703125" style="185" customWidth="1"/>
    <col min="14" max="14" width="17.28515625" style="185" customWidth="1"/>
    <col min="15" max="16384" width="9.140625" style="3"/>
  </cols>
  <sheetData>
    <row r="1" spans="2:10">
      <c r="B1" s="230" t="s">
        <v>196</v>
      </c>
      <c r="C1" s="230"/>
      <c r="D1" s="230"/>
      <c r="E1" s="230"/>
      <c r="F1" s="230"/>
      <c r="G1" s="230"/>
      <c r="H1" s="230"/>
      <c r="I1" s="215"/>
      <c r="J1" s="215"/>
    </row>
    <row r="2" spans="2:10" ht="19.5" customHeight="1">
      <c r="B2" s="231" t="s">
        <v>306</v>
      </c>
      <c r="C2" s="231"/>
      <c r="D2" s="231"/>
      <c r="E2" s="231"/>
      <c r="F2" s="231"/>
      <c r="G2" s="231"/>
      <c r="H2" s="231"/>
      <c r="I2" s="221"/>
      <c r="J2" s="221"/>
    </row>
    <row r="3" spans="2:10" ht="22.5" customHeight="1">
      <c r="B3" s="231"/>
      <c r="C3" s="231"/>
      <c r="D3" s="231"/>
      <c r="E3" s="231"/>
      <c r="F3" s="231"/>
      <c r="G3" s="231"/>
      <c r="H3" s="231"/>
      <c r="I3" s="221"/>
      <c r="J3" s="221"/>
    </row>
    <row r="4" spans="2:10" ht="8.25" customHeight="1">
      <c r="D4" s="232"/>
      <c r="E4" s="232"/>
    </row>
    <row r="5" spans="2:10">
      <c r="B5" s="8" t="s">
        <v>0</v>
      </c>
      <c r="C5" s="110"/>
      <c r="D5" s="233" t="s">
        <v>298</v>
      </c>
      <c r="E5" s="233"/>
    </row>
    <row r="6" spans="2:10">
      <c r="B6" s="8" t="s">
        <v>1</v>
      </c>
      <c r="C6" s="110"/>
      <c r="D6" s="217"/>
      <c r="E6" s="217"/>
    </row>
    <row r="7" spans="2:10" hidden="1" outlineLevel="1">
      <c r="B7" s="8" t="s">
        <v>2</v>
      </c>
      <c r="C7" s="110"/>
      <c r="D7" s="113">
        <v>2</v>
      </c>
      <c r="E7" s="217"/>
    </row>
    <row r="8" spans="2:10" hidden="1" outlineLevel="1">
      <c r="B8" s="8" t="s">
        <v>3</v>
      </c>
      <c r="C8" s="110"/>
      <c r="D8" s="217">
        <v>8</v>
      </c>
      <c r="E8" s="217"/>
    </row>
    <row r="9" spans="2:10" ht="26.25" hidden="1" outlineLevel="1">
      <c r="B9" s="111" t="s">
        <v>4</v>
      </c>
      <c r="C9" s="112"/>
      <c r="D9" s="217">
        <v>364</v>
      </c>
      <c r="E9" s="217"/>
    </row>
    <row r="10" spans="2:10" collapsed="1">
      <c r="B10" s="8" t="s">
        <v>5</v>
      </c>
      <c r="C10" s="110"/>
      <c r="D10" s="217">
        <v>272.8</v>
      </c>
      <c r="E10" s="217"/>
    </row>
    <row r="11" spans="2:10" ht="35.25" hidden="1" customHeight="1" outlineLevel="1">
      <c r="B11" s="11" t="s">
        <v>7</v>
      </c>
      <c r="C11" s="12"/>
      <c r="D11" s="87" t="s">
        <v>13</v>
      </c>
      <c r="E11" s="216"/>
    </row>
    <row r="12" spans="2:10" ht="9" customHeight="1" collapsed="1">
      <c r="B12" s="11"/>
      <c r="C12" s="12"/>
      <c r="D12" s="87"/>
      <c r="E12" s="216"/>
    </row>
    <row r="13" spans="2:10" ht="16.5" thickBot="1">
      <c r="B13" s="234" t="s">
        <v>295</v>
      </c>
      <c r="C13" s="234"/>
      <c r="D13" s="234"/>
      <c r="E13" s="234"/>
      <c r="F13" s="234"/>
      <c r="G13" s="234"/>
      <c r="H13" s="234"/>
    </row>
    <row r="14" spans="2:10" ht="48" customHeight="1" thickBot="1">
      <c r="B14" s="202" t="s">
        <v>296</v>
      </c>
      <c r="C14" s="225" t="s">
        <v>194</v>
      </c>
      <c r="D14" s="226"/>
      <c r="E14" s="227" t="s">
        <v>8</v>
      </c>
      <c r="F14" s="228"/>
      <c r="G14" s="227" t="s">
        <v>9</v>
      </c>
      <c r="H14" s="229"/>
    </row>
    <row r="15" spans="2:10" ht="15.75" customHeight="1">
      <c r="B15" s="88" t="s">
        <v>14</v>
      </c>
      <c r="C15" s="238">
        <v>121008.23999999999</v>
      </c>
      <c r="D15" s="239"/>
      <c r="E15" s="238">
        <v>97067.489999999991</v>
      </c>
      <c r="F15" s="239"/>
      <c r="G15" s="238">
        <v>23940.75</v>
      </c>
      <c r="H15" s="240"/>
    </row>
    <row r="16" spans="2:10" ht="15.75" customHeight="1">
      <c r="B16" s="89" t="s">
        <v>15</v>
      </c>
      <c r="C16" s="235">
        <v>67802.34</v>
      </c>
      <c r="D16" s="236"/>
      <c r="E16" s="235">
        <v>54373.02</v>
      </c>
      <c r="F16" s="236"/>
      <c r="G16" s="235">
        <v>13429.32</v>
      </c>
      <c r="H16" s="237"/>
    </row>
    <row r="17" spans="2:14" ht="15.75" customHeight="1" thickBot="1">
      <c r="B17" s="90" t="s">
        <v>176</v>
      </c>
      <c r="C17" s="235">
        <v>101346.48999999999</v>
      </c>
      <c r="D17" s="236"/>
      <c r="E17" s="235">
        <v>97067.489999999991</v>
      </c>
      <c r="F17" s="236"/>
      <c r="G17" s="235">
        <v>4279</v>
      </c>
      <c r="H17" s="237"/>
    </row>
    <row r="18" spans="2:14" ht="30" customHeight="1" thickBot="1">
      <c r="B18" s="92" t="s">
        <v>274</v>
      </c>
      <c r="C18" s="249">
        <f>C16-C17</f>
        <v>-33544.149999999994</v>
      </c>
      <c r="D18" s="250"/>
      <c r="E18" s="251">
        <f>E16-E17</f>
        <v>-42694.469999999994</v>
      </c>
      <c r="F18" s="252"/>
      <c r="G18" s="251">
        <f>G16-G17</f>
        <v>9150.32</v>
      </c>
      <c r="H18" s="253"/>
    </row>
    <row r="19" spans="2:14" ht="11.25" customHeight="1">
      <c r="M19" s="203"/>
      <c r="N19" s="203"/>
    </row>
    <row r="20" spans="2:14" ht="30" customHeight="1" thickBot="1">
      <c r="B20" s="254" t="s">
        <v>302</v>
      </c>
      <c r="C20" s="254"/>
      <c r="D20" s="254"/>
      <c r="E20" s="254"/>
      <c r="F20" s="254"/>
      <c r="G20" s="254"/>
      <c r="H20" s="254"/>
      <c r="I20" s="13"/>
      <c r="J20" s="13"/>
      <c r="L20" s="14"/>
      <c r="M20" s="241" t="s">
        <v>278</v>
      </c>
      <c r="N20" s="241" t="s">
        <v>279</v>
      </c>
    </row>
    <row r="21" spans="2:14" ht="27.75" customHeight="1">
      <c r="B21" s="243" t="s">
        <v>183</v>
      </c>
      <c r="C21" s="245" t="s">
        <v>184</v>
      </c>
      <c r="D21" s="245" t="s">
        <v>185</v>
      </c>
      <c r="E21" s="247" t="s">
        <v>303</v>
      </c>
      <c r="F21" s="255" t="s">
        <v>186</v>
      </c>
      <c r="G21" s="256"/>
      <c r="H21" s="257" t="s">
        <v>209</v>
      </c>
      <c r="I21" s="15"/>
      <c r="J21" s="15"/>
      <c r="L21" s="14"/>
      <c r="M21" s="242"/>
      <c r="N21" s="242"/>
    </row>
    <row r="22" spans="2:14" ht="45" customHeight="1" thickBot="1">
      <c r="B22" s="244"/>
      <c r="C22" s="246"/>
      <c r="D22" s="246"/>
      <c r="E22" s="248"/>
      <c r="F22" s="16" t="s">
        <v>174</v>
      </c>
      <c r="G22" s="17" t="s">
        <v>175</v>
      </c>
      <c r="H22" s="258"/>
      <c r="I22" s="15"/>
      <c r="J22" s="15"/>
      <c r="M22" s="204">
        <v>80627.850000000006</v>
      </c>
      <c r="N22" s="204">
        <f>M22</f>
        <v>80627.850000000006</v>
      </c>
    </row>
    <row r="23" spans="2:14" ht="50.25" customHeight="1">
      <c r="B23" s="18" t="s">
        <v>178</v>
      </c>
      <c r="C23" s="6" t="s">
        <v>205</v>
      </c>
      <c r="D23" s="19" t="s">
        <v>188</v>
      </c>
      <c r="E23" s="93">
        <v>3.42</v>
      </c>
      <c r="F23" s="20">
        <f>$M$22/$M$23*E23</f>
        <v>15209.44550468836</v>
      </c>
      <c r="G23" s="21">
        <f>$N$22/$N$23*E23</f>
        <v>15209.44550468836</v>
      </c>
      <c r="H23" s="22">
        <f>F23-G23</f>
        <v>0</v>
      </c>
      <c r="I23" s="23"/>
      <c r="J23" s="23"/>
      <c r="K23" s="24"/>
      <c r="L23" s="25"/>
      <c r="M23" s="205">
        <f>E32-E30</f>
        <v>18.130000000000003</v>
      </c>
      <c r="N23" s="205">
        <f>E32-E30</f>
        <v>18.130000000000003</v>
      </c>
    </row>
    <row r="24" spans="2:14" ht="56.25">
      <c r="B24" s="26" t="s">
        <v>189</v>
      </c>
      <c r="C24" s="6" t="s">
        <v>205</v>
      </c>
      <c r="D24" s="19" t="s">
        <v>188</v>
      </c>
      <c r="E24" s="94">
        <v>3.8</v>
      </c>
      <c r="F24" s="20">
        <f>$M$22/$M$23*E24</f>
        <v>16899.383894098177</v>
      </c>
      <c r="G24" s="21">
        <f>$N$22/$N$23*E24</f>
        <v>16899.383894098177</v>
      </c>
      <c r="H24" s="22">
        <f t="shared" ref="H24:H29" si="0">F24-G24</f>
        <v>0</v>
      </c>
      <c r="I24" s="23"/>
      <c r="J24" s="23"/>
      <c r="K24" s="2"/>
      <c r="L24" s="2"/>
      <c r="M24" s="186"/>
      <c r="N24" s="186"/>
    </row>
    <row r="25" spans="2:14" ht="52.5" customHeight="1">
      <c r="B25" s="27" t="s">
        <v>171</v>
      </c>
      <c r="C25" s="6" t="s">
        <v>205</v>
      </c>
      <c r="D25" s="19" t="s">
        <v>188</v>
      </c>
      <c r="E25" s="94">
        <v>0.32</v>
      </c>
      <c r="F25" s="20">
        <f t="shared" ref="F25:F31" si="1">$M$22/$M$23*E25</f>
        <v>1423.1060121345834</v>
      </c>
      <c r="G25" s="21">
        <f t="shared" ref="G25:G29" si="2">$N$22/$N$23*E25</f>
        <v>1423.1060121345834</v>
      </c>
      <c r="H25" s="22">
        <f t="shared" si="0"/>
        <v>0</v>
      </c>
      <c r="I25" s="23"/>
      <c r="J25" s="23"/>
      <c r="L25" s="14"/>
    </row>
    <row r="26" spans="2:14" ht="25.5">
      <c r="B26" s="27" t="s">
        <v>172</v>
      </c>
      <c r="C26" s="28" t="s">
        <v>190</v>
      </c>
      <c r="D26" s="19" t="s">
        <v>188</v>
      </c>
      <c r="E26" s="94">
        <v>0</v>
      </c>
      <c r="F26" s="20">
        <f>($M$22/12*2)/$M$23*E26</f>
        <v>0</v>
      </c>
      <c r="G26" s="21">
        <f>($N$22/12*2)/$N$23*E26</f>
        <v>0</v>
      </c>
      <c r="H26" s="22">
        <f t="shared" si="0"/>
        <v>0</v>
      </c>
      <c r="I26" s="23"/>
      <c r="J26" s="23"/>
      <c r="L26" s="14"/>
    </row>
    <row r="27" spans="2:14" ht="51">
      <c r="B27" s="26" t="s">
        <v>179</v>
      </c>
      <c r="C27" s="29" t="s">
        <v>206</v>
      </c>
      <c r="D27" s="19" t="s">
        <v>188</v>
      </c>
      <c r="E27" s="94">
        <v>1.89</v>
      </c>
      <c r="F27" s="20">
        <f t="shared" si="1"/>
        <v>8405.2198841698828</v>
      </c>
      <c r="G27" s="21">
        <f t="shared" si="2"/>
        <v>8405.2198841698828</v>
      </c>
      <c r="H27" s="22">
        <f t="shared" si="0"/>
        <v>0</v>
      </c>
      <c r="I27" s="23"/>
      <c r="J27" s="23"/>
    </row>
    <row r="28" spans="2:14" ht="217.5" customHeight="1">
      <c r="B28" s="26" t="s">
        <v>276</v>
      </c>
      <c r="C28" s="29" t="s">
        <v>191</v>
      </c>
      <c r="D28" s="19" t="s">
        <v>188</v>
      </c>
      <c r="E28" s="94">
        <v>7.17</v>
      </c>
      <c r="F28" s="20">
        <f t="shared" si="1"/>
        <v>31886.469084390508</v>
      </c>
      <c r="G28" s="21">
        <f t="shared" si="2"/>
        <v>31886.469084390508</v>
      </c>
      <c r="H28" s="22">
        <f t="shared" si="0"/>
        <v>0</v>
      </c>
      <c r="I28" s="23"/>
      <c r="J28" s="23"/>
      <c r="K28" s="2"/>
      <c r="L28" s="1"/>
      <c r="M28" s="186"/>
      <c r="N28" s="186"/>
    </row>
    <row r="29" spans="2:14" ht="108.75" customHeight="1">
      <c r="B29" s="26" t="s">
        <v>192</v>
      </c>
      <c r="C29" s="6" t="s">
        <v>205</v>
      </c>
      <c r="D29" s="19" t="s">
        <v>188</v>
      </c>
      <c r="E29" s="94">
        <v>0.35</v>
      </c>
      <c r="F29" s="20">
        <f t="shared" si="1"/>
        <v>1556.5222007722004</v>
      </c>
      <c r="G29" s="21">
        <f t="shared" si="2"/>
        <v>1556.5222007722004</v>
      </c>
      <c r="H29" s="22">
        <f t="shared" si="0"/>
        <v>0</v>
      </c>
      <c r="I29" s="23"/>
      <c r="J29" s="23"/>
    </row>
    <row r="30" spans="2:14" ht="56.25">
      <c r="B30" s="27" t="s">
        <v>193</v>
      </c>
      <c r="C30" s="6" t="s">
        <v>205</v>
      </c>
      <c r="D30" s="19" t="s">
        <v>188</v>
      </c>
      <c r="E30" s="94">
        <v>4.8499999999999996</v>
      </c>
      <c r="F30" s="20">
        <v>21568.95</v>
      </c>
      <c r="G30" s="4">
        <v>13162</v>
      </c>
      <c r="H30" s="22">
        <f>F30-G30</f>
        <v>8406.9500000000007</v>
      </c>
      <c r="I30" s="23"/>
      <c r="J30" s="23"/>
      <c r="L30" s="14"/>
    </row>
    <row r="31" spans="2:14" ht="16.5" thickBot="1">
      <c r="B31" s="64" t="s">
        <v>173</v>
      </c>
      <c r="C31" s="77" t="s">
        <v>191</v>
      </c>
      <c r="D31" s="50" t="s">
        <v>188</v>
      </c>
      <c r="E31" s="95">
        <v>1.18</v>
      </c>
      <c r="F31" s="20">
        <f t="shared" si="1"/>
        <v>5247.7034197462763</v>
      </c>
      <c r="G31" s="21">
        <f t="shared" ref="G31" si="3">$N$22/$N$23*E31</f>
        <v>5247.7034197462763</v>
      </c>
      <c r="H31" s="30">
        <f>F31-G31</f>
        <v>0</v>
      </c>
      <c r="I31" s="23"/>
      <c r="J31" s="23"/>
    </row>
    <row r="32" spans="2:14" ht="16.5" thickBot="1">
      <c r="B32" s="51" t="s">
        <v>177</v>
      </c>
      <c r="C32" s="52"/>
      <c r="D32" s="52"/>
      <c r="E32" s="96">
        <f>SUM(E23:E31)</f>
        <v>22.980000000000004</v>
      </c>
      <c r="F32" s="53">
        <f>SUM(F23:F31)</f>
        <v>102196.79999999999</v>
      </c>
      <c r="G32" s="54">
        <f>SUM(G23:G31)</f>
        <v>93789.849999999991</v>
      </c>
      <c r="H32" s="35">
        <f>SUM(H23:H31)</f>
        <v>8406.9500000000007</v>
      </c>
      <c r="I32" s="36"/>
      <c r="J32" s="36"/>
    </row>
    <row r="33" spans="2:14">
      <c r="B33" s="14"/>
      <c r="C33" s="14"/>
      <c r="D33" s="14"/>
      <c r="E33" s="82"/>
      <c r="F33" s="82"/>
      <c r="G33" s="82"/>
    </row>
    <row r="34" spans="2:14" ht="16.5" customHeight="1" thickBot="1">
      <c r="B34" s="234" t="s">
        <v>304</v>
      </c>
      <c r="C34" s="234"/>
      <c r="D34" s="234"/>
      <c r="E34" s="234"/>
      <c r="F34" s="234"/>
      <c r="G34" s="234"/>
      <c r="H34" s="234"/>
      <c r="I34" s="37"/>
      <c r="J34" s="37"/>
    </row>
    <row r="35" spans="2:14" ht="44.25" customHeight="1" thickBot="1">
      <c r="B35" s="202" t="s">
        <v>305</v>
      </c>
      <c r="C35" s="225" t="s">
        <v>194</v>
      </c>
      <c r="D35" s="226"/>
      <c r="E35" s="227" t="s">
        <v>8</v>
      </c>
      <c r="F35" s="228"/>
      <c r="G35" s="227" t="s">
        <v>9</v>
      </c>
      <c r="H35" s="229"/>
      <c r="I35" s="38"/>
      <c r="J35" s="38"/>
      <c r="K35" s="39"/>
      <c r="L35" s="40"/>
      <c r="M35" s="187"/>
      <c r="N35" s="187"/>
    </row>
    <row r="36" spans="2:14">
      <c r="B36" s="88" t="s">
        <v>14</v>
      </c>
      <c r="C36" s="238">
        <f>E36+G36</f>
        <v>223205.03999999998</v>
      </c>
      <c r="D36" s="239"/>
      <c r="E36" s="263">
        <f>F23+F24+F25+F26+F27+F28+F29+F31+E15</f>
        <v>177695.33999999997</v>
      </c>
      <c r="F36" s="264"/>
      <c r="G36" s="263">
        <f>F30+G15</f>
        <v>45509.7</v>
      </c>
      <c r="H36" s="265"/>
      <c r="I36" s="222"/>
      <c r="J36" s="222"/>
      <c r="K36" s="7"/>
      <c r="L36" s="7"/>
      <c r="M36" s="188"/>
    </row>
    <row r="37" spans="2:14">
      <c r="B37" s="89" t="s">
        <v>15</v>
      </c>
      <c r="C37" s="235">
        <f>E37+G37</f>
        <v>136114.70199999999</v>
      </c>
      <c r="D37" s="236"/>
      <c r="E37" s="235">
        <f>E16+53894.78</f>
        <v>108267.79999999999</v>
      </c>
      <c r="F37" s="236"/>
      <c r="G37" s="235">
        <f>G16+14417.582</f>
        <v>27846.902000000002</v>
      </c>
      <c r="H37" s="237"/>
      <c r="I37" s="222"/>
      <c r="J37" s="222"/>
      <c r="K37" s="9"/>
      <c r="L37" s="7"/>
      <c r="M37" s="188"/>
    </row>
    <row r="38" spans="2:14" ht="16.5" thickBot="1">
      <c r="B38" s="90" t="s">
        <v>176</v>
      </c>
      <c r="C38" s="235">
        <f>E38+G38</f>
        <v>195136.33999999997</v>
      </c>
      <c r="D38" s="236"/>
      <c r="E38" s="260">
        <f>G23+G24+G25+G26+G27+G28+G29+G31+E17</f>
        <v>177695.33999999997</v>
      </c>
      <c r="F38" s="261"/>
      <c r="G38" s="260">
        <f>G30+G17</f>
        <v>17441</v>
      </c>
      <c r="H38" s="262"/>
      <c r="I38" s="222"/>
      <c r="J38" s="222"/>
      <c r="K38" s="41"/>
      <c r="L38" s="41"/>
    </row>
    <row r="39" spans="2:14" ht="31.5" customHeight="1" thickBot="1">
      <c r="B39" s="92" t="s">
        <v>275</v>
      </c>
      <c r="C39" s="249">
        <f>E39+G39</f>
        <v>-59021.637999999977</v>
      </c>
      <c r="D39" s="250"/>
      <c r="E39" s="251">
        <f>E37-E38</f>
        <v>-69427.539999999979</v>
      </c>
      <c r="F39" s="252"/>
      <c r="G39" s="251">
        <f>G37-G38</f>
        <v>10405.902000000002</v>
      </c>
      <c r="H39" s="253"/>
      <c r="I39" s="222"/>
      <c r="J39" s="222"/>
      <c r="K39" s="41"/>
      <c r="L39" s="41"/>
    </row>
    <row r="40" spans="2:14" ht="12" customHeight="1">
      <c r="B40" s="79"/>
      <c r="C40" s="100"/>
      <c r="D40" s="100"/>
      <c r="E40" s="101"/>
      <c r="F40" s="81"/>
      <c r="G40" s="81"/>
      <c r="H40" s="81"/>
      <c r="I40" s="222"/>
      <c r="J40" s="222"/>
      <c r="K40" s="41"/>
      <c r="L40" s="41"/>
    </row>
    <row r="41" spans="2:14" ht="18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3"/>
      <c r="I47" s="3"/>
      <c r="J47" s="3"/>
    </row>
    <row r="48" spans="2:14" ht="9" customHeight="1">
      <c r="B48" s="46"/>
      <c r="C48" s="46"/>
      <c r="D48" s="46"/>
      <c r="E48" s="220"/>
      <c r="F48" s="268"/>
      <c r="G48" s="268"/>
      <c r="H48" s="3"/>
      <c r="I48" s="3"/>
      <c r="J48" s="3"/>
    </row>
    <row r="49" spans="2:10">
      <c r="B49" s="46"/>
      <c r="C49" s="46"/>
      <c r="D49" s="83"/>
      <c r="E49" s="83"/>
      <c r="F49" s="84"/>
      <c r="G49" s="84"/>
      <c r="H49" s="3"/>
      <c r="I49" s="3"/>
      <c r="J49" s="3"/>
    </row>
    <row r="50" spans="2:10">
      <c r="C50" s="82"/>
      <c r="H50" s="3"/>
      <c r="I50" s="3"/>
      <c r="J50" s="3"/>
    </row>
    <row r="51" spans="2:10">
      <c r="C51" s="82"/>
      <c r="H51" s="3"/>
      <c r="I51" s="3"/>
      <c r="J51" s="3"/>
    </row>
    <row r="52" spans="2:10">
      <c r="C52" s="82"/>
      <c r="H52" s="3"/>
      <c r="I52" s="3"/>
      <c r="J52" s="3"/>
    </row>
    <row r="53" spans="2:10">
      <c r="C53" s="82"/>
      <c r="H53" s="3"/>
      <c r="I53" s="3"/>
      <c r="J53" s="3"/>
    </row>
    <row r="54" spans="2:10">
      <c r="C54" s="82"/>
      <c r="H54" s="3"/>
      <c r="I54" s="3"/>
      <c r="J54" s="3"/>
    </row>
  </sheetData>
  <mergeCells count="56">
    <mergeCell ref="G39:H39"/>
    <mergeCell ref="C41:E41"/>
    <mergeCell ref="F41:G41"/>
    <mergeCell ref="F48:G48"/>
    <mergeCell ref="C43:E43"/>
    <mergeCell ref="F43:G43"/>
    <mergeCell ref="F44:G44"/>
    <mergeCell ref="C45:E45"/>
    <mergeCell ref="F45:G45"/>
    <mergeCell ref="C47:E47"/>
    <mergeCell ref="F47:G47"/>
    <mergeCell ref="B34:H34"/>
    <mergeCell ref="C35:D35"/>
    <mergeCell ref="E35:F35"/>
    <mergeCell ref="G35:H35"/>
    <mergeCell ref="F42:G42"/>
    <mergeCell ref="C38:D38"/>
    <mergeCell ref="E38:F38"/>
    <mergeCell ref="G38:H38"/>
    <mergeCell ref="C36:D36"/>
    <mergeCell ref="E36:F36"/>
    <mergeCell ref="G36:H36"/>
    <mergeCell ref="C37:D37"/>
    <mergeCell ref="E37:F37"/>
    <mergeCell ref="G37:H37"/>
    <mergeCell ref="C39:D39"/>
    <mergeCell ref="E39:F39"/>
    <mergeCell ref="C18:D18"/>
    <mergeCell ref="E18:F18"/>
    <mergeCell ref="G18:H18"/>
    <mergeCell ref="B20:H20"/>
    <mergeCell ref="M20:M21"/>
    <mergeCell ref="F21:G21"/>
    <mergeCell ref="H21:H22"/>
    <mergeCell ref="N20:N21"/>
    <mergeCell ref="B21:B22"/>
    <mergeCell ref="C21:C22"/>
    <mergeCell ref="D21:D22"/>
    <mergeCell ref="E21:E22"/>
    <mergeCell ref="C17:D17"/>
    <mergeCell ref="E17:F17"/>
    <mergeCell ref="G17:H17"/>
    <mergeCell ref="C15:D15"/>
    <mergeCell ref="E15:F15"/>
    <mergeCell ref="G15:H15"/>
    <mergeCell ref="C16:D16"/>
    <mergeCell ref="E16:F16"/>
    <mergeCell ref="G16:H16"/>
    <mergeCell ref="C14:D14"/>
    <mergeCell ref="E14:F14"/>
    <mergeCell ref="G14:H14"/>
    <mergeCell ref="B1:H1"/>
    <mergeCell ref="B2:H3"/>
    <mergeCell ref="D4:E4"/>
    <mergeCell ref="D5:E5"/>
    <mergeCell ref="B13:H13"/>
  </mergeCells>
  <pageMargins left="0.19685039370078741" right="0.19685039370078741" top="0.35433070866141736" bottom="0.31496062992125984" header="0.31496062992125984" footer="0.31496062992125984"/>
  <pageSetup paperSize="9" scale="46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1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42578125" style="3" customWidth="1"/>
    <col min="3" max="3" width="20.85546875" style="10" customWidth="1"/>
    <col min="4" max="4" width="10" style="78" customWidth="1"/>
    <col min="5" max="5" width="9.7109375" style="78" customWidth="1"/>
    <col min="6" max="6" width="10.42578125" style="78" customWidth="1"/>
    <col min="7" max="7" width="10.28515625" style="3" customWidth="1"/>
    <col min="8" max="8" width="10.85546875" style="78" customWidth="1"/>
    <col min="9" max="9" width="13.7109375" style="3" customWidth="1"/>
    <col min="10" max="10" width="12.5703125" style="3" customWidth="1"/>
    <col min="11" max="11" width="14.7109375" style="3" customWidth="1"/>
    <col min="12" max="12" width="11.140625" style="3" customWidth="1"/>
    <col min="13" max="13" width="16.5703125" style="185" customWidth="1"/>
    <col min="14" max="14" width="17.42578125" style="185" customWidth="1"/>
    <col min="15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3.25" customHeight="1">
      <c r="B3" s="231"/>
      <c r="C3" s="231"/>
      <c r="D3" s="231"/>
      <c r="E3" s="231"/>
      <c r="F3" s="231"/>
      <c r="G3" s="231"/>
      <c r="H3" s="231"/>
      <c r="I3" s="56"/>
    </row>
    <row r="4" spans="2:9" ht="6.75" customHeight="1"/>
    <row r="5" spans="2:9">
      <c r="B5" s="8" t="s">
        <v>0</v>
      </c>
      <c r="C5" s="110"/>
      <c r="D5" s="233" t="s">
        <v>36</v>
      </c>
      <c r="E5" s="233"/>
    </row>
    <row r="6" spans="2:9">
      <c r="B6" s="8" t="s">
        <v>1</v>
      </c>
      <c r="C6" s="110"/>
      <c r="D6" s="217">
        <v>1958</v>
      </c>
      <c r="E6" s="217"/>
    </row>
    <row r="7" spans="2:9" hidden="1" outlineLevel="1">
      <c r="B7" s="8" t="s">
        <v>2</v>
      </c>
      <c r="C7" s="110"/>
      <c r="D7" s="217">
        <v>2</v>
      </c>
      <c r="E7" s="217"/>
    </row>
    <row r="8" spans="2:9" hidden="1" outlineLevel="1">
      <c r="B8" s="8" t="s">
        <v>3</v>
      </c>
      <c r="C8" s="110"/>
      <c r="D8" s="217">
        <v>16</v>
      </c>
      <c r="E8" s="217"/>
    </row>
    <row r="9" spans="2:9" ht="26.25" hidden="1" outlineLevel="1">
      <c r="B9" s="111" t="s">
        <v>4</v>
      </c>
      <c r="C9" s="112"/>
      <c r="D9" s="217" t="s">
        <v>37</v>
      </c>
      <c r="E9" s="217"/>
    </row>
    <row r="10" spans="2:9" collapsed="1">
      <c r="B10" s="8" t="s">
        <v>5</v>
      </c>
      <c r="C10" s="110"/>
      <c r="D10" s="217" t="s">
        <v>218</v>
      </c>
      <c r="E10" s="217"/>
      <c r="I10" s="14"/>
    </row>
    <row r="11" spans="2:9" hidden="1" outlineLevel="1">
      <c r="B11" s="3" t="s">
        <v>6</v>
      </c>
      <c r="D11" s="216" t="s">
        <v>12</v>
      </c>
      <c r="E11" s="216"/>
    </row>
    <row r="12" spans="2:9" ht="31.5" hidden="1" customHeight="1" outlineLevel="1">
      <c r="B12" s="11" t="s">
        <v>7</v>
      </c>
      <c r="C12" s="12"/>
      <c r="D12" s="87" t="s">
        <v>38</v>
      </c>
      <c r="E12" s="216"/>
      <c r="I12" s="14"/>
    </row>
    <row r="13" spans="2:9" ht="8.25" customHeight="1" collapsed="1">
      <c r="B13" s="11"/>
      <c r="C13" s="12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1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>
      <c r="B16" s="88" t="s">
        <v>14</v>
      </c>
      <c r="C16" s="238">
        <v>1216483.92</v>
      </c>
      <c r="D16" s="273"/>
      <c r="E16" s="263">
        <v>900401.23</v>
      </c>
      <c r="F16" s="264"/>
      <c r="G16" s="263">
        <v>316082.69</v>
      </c>
      <c r="H16" s="265"/>
      <c r="I16" s="14"/>
    </row>
    <row r="17" spans="2:14">
      <c r="B17" s="89" t="s">
        <v>15</v>
      </c>
      <c r="C17" s="235">
        <v>1077640.02</v>
      </c>
      <c r="D17" s="236"/>
      <c r="E17" s="235">
        <v>798082.7</v>
      </c>
      <c r="F17" s="236"/>
      <c r="G17" s="235">
        <v>279557.32</v>
      </c>
      <c r="H17" s="237"/>
      <c r="I17" s="14"/>
    </row>
    <row r="18" spans="2:14">
      <c r="B18" s="90" t="s">
        <v>176</v>
      </c>
      <c r="C18" s="235">
        <v>1294325.23</v>
      </c>
      <c r="D18" s="236"/>
      <c r="E18" s="260">
        <v>900401.23</v>
      </c>
      <c r="F18" s="261"/>
      <c r="G18" s="260">
        <v>393924</v>
      </c>
      <c r="H18" s="262"/>
      <c r="I18" s="14"/>
    </row>
    <row r="19" spans="2:14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4" ht="30.75" customHeight="1" thickBot="1">
      <c r="B20" s="92" t="s">
        <v>274</v>
      </c>
      <c r="C20" s="249">
        <f>E20+G20</f>
        <v>-184285.21000000002</v>
      </c>
      <c r="D20" s="250"/>
      <c r="E20" s="251">
        <f>E17+E19-E18</f>
        <v>-69918.530000000028</v>
      </c>
      <c r="F20" s="252"/>
      <c r="G20" s="251">
        <f>G17-G18</f>
        <v>-114366.68</v>
      </c>
      <c r="H20" s="253"/>
      <c r="I20" s="14"/>
    </row>
    <row r="21" spans="2:14" ht="13.5" customHeight="1">
      <c r="B21" s="11"/>
      <c r="C21" s="61"/>
      <c r="D21" s="87"/>
      <c r="E21" s="216"/>
      <c r="I21" s="14"/>
    </row>
    <row r="22" spans="2:14" ht="19.5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4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I23" s="15"/>
      <c r="J23" s="15"/>
      <c r="L23" s="14"/>
      <c r="M23" s="242"/>
      <c r="N23" s="242"/>
    </row>
    <row r="24" spans="2:14" ht="4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I24" s="15"/>
      <c r="J24" s="15"/>
      <c r="M24" s="204">
        <v>120756.49800000001</v>
      </c>
      <c r="N24" s="204">
        <f>M24</f>
        <v>120756.49800000001</v>
      </c>
    </row>
    <row r="25" spans="2:14" ht="62.25" customHeight="1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21874.323260593217</v>
      </c>
      <c r="G25" s="21">
        <f>$N$24/$N$25*E25</f>
        <v>21874.323260593217</v>
      </c>
      <c r="H25" s="22">
        <f>F25-G25</f>
        <v>0</v>
      </c>
      <c r="I25" s="23"/>
      <c r="J25" s="23"/>
      <c r="K25" s="24"/>
      <c r="L25" s="25"/>
      <c r="M25" s="205">
        <f>E34-E32</f>
        <v>18.880000000000003</v>
      </c>
      <c r="N25" s="205">
        <f>E34-E32</f>
        <v>18.880000000000003</v>
      </c>
    </row>
    <row r="26" spans="2:14" ht="61.5" customHeight="1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24304.803622881354</v>
      </c>
      <c r="G26" s="21">
        <f>$N$24/$N$25*E26</f>
        <v>24304.803622881354</v>
      </c>
      <c r="H26" s="22">
        <f t="shared" ref="H26:H31" si="0">F26-G26</f>
        <v>0</v>
      </c>
      <c r="I26" s="23"/>
      <c r="J26" s="23"/>
      <c r="K26" s="2"/>
      <c r="L26" s="2"/>
      <c r="M26" s="186"/>
      <c r="N26" s="186"/>
    </row>
    <row r="27" spans="2:14" ht="62.25" customHeight="1">
      <c r="B27" s="27" t="s">
        <v>171</v>
      </c>
      <c r="C27" s="6" t="s">
        <v>205</v>
      </c>
      <c r="D27" s="19" t="s">
        <v>188</v>
      </c>
      <c r="E27" s="94">
        <v>0.32</v>
      </c>
      <c r="F27" s="20">
        <f t="shared" ref="F27:F33" si="1">$M$24/$M$25*E27</f>
        <v>2046.7203050847456</v>
      </c>
      <c r="G27" s="21">
        <f t="shared" ref="G27:G30" si="2">$N$24/$N$25*E27</f>
        <v>2046.7203050847456</v>
      </c>
      <c r="H27" s="22">
        <f t="shared" si="0"/>
        <v>0</v>
      </c>
      <c r="I27" s="23"/>
      <c r="J27" s="23"/>
      <c r="L27" s="14"/>
    </row>
    <row r="28" spans="2:14" ht="29.25" customHeight="1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si="1"/>
        <v>4093.4406101694913</v>
      </c>
      <c r="G28" s="21">
        <f t="shared" si="2"/>
        <v>4093.4406101694913</v>
      </c>
      <c r="H28" s="22">
        <f t="shared" si="0"/>
        <v>0</v>
      </c>
      <c r="I28" s="23"/>
      <c r="J28" s="23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1.89</v>
      </c>
      <c r="F29" s="20">
        <f t="shared" si="1"/>
        <v>12088.441801906778</v>
      </c>
      <c r="G29" s="21">
        <f t="shared" si="2"/>
        <v>12088.441801906778</v>
      </c>
      <c r="H29" s="22">
        <f t="shared" si="0"/>
        <v>0</v>
      </c>
      <c r="I29" s="23"/>
      <c r="J29" s="23"/>
    </row>
    <row r="30" spans="2:14" ht="219" customHeight="1">
      <c r="B30" s="26" t="s">
        <v>202</v>
      </c>
      <c r="C30" s="29" t="s">
        <v>191</v>
      </c>
      <c r="D30" s="19" t="s">
        <v>188</v>
      </c>
      <c r="E30" s="94">
        <v>7.17</v>
      </c>
      <c r="F30" s="20">
        <f t="shared" si="1"/>
        <v>45859.326835805085</v>
      </c>
      <c r="G30" s="21">
        <f t="shared" si="2"/>
        <v>45859.326835805085</v>
      </c>
      <c r="H30" s="22">
        <f t="shared" si="0"/>
        <v>0</v>
      </c>
      <c r="I30" s="23"/>
      <c r="J30" s="23"/>
      <c r="K30" s="2"/>
      <c r="L30" s="1"/>
      <c r="M30" s="186"/>
      <c r="N30" s="186"/>
    </row>
    <row r="31" spans="2:14" ht="108" customHeight="1">
      <c r="B31" s="26" t="s">
        <v>192</v>
      </c>
      <c r="C31" s="6" t="s">
        <v>205</v>
      </c>
      <c r="D31" s="19" t="s">
        <v>188</v>
      </c>
      <c r="E31" s="94">
        <v>0.35</v>
      </c>
      <c r="F31" s="20">
        <f t="shared" si="1"/>
        <v>2238.6003336864405</v>
      </c>
      <c r="G31" s="21">
        <f t="shared" ref="G31" si="3">$N$24/$N$25*E31</f>
        <v>2238.6003336864405</v>
      </c>
      <c r="H31" s="22">
        <f t="shared" si="0"/>
        <v>0</v>
      </c>
      <c r="I31" s="23"/>
      <c r="J31" s="23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4.5999999999999996</v>
      </c>
      <c r="F32" s="20">
        <v>29421.599999999999</v>
      </c>
      <c r="G32" s="4">
        <v>4564</v>
      </c>
      <c r="H32" s="22">
        <f>F32-G32</f>
        <v>24857.599999999999</v>
      </c>
      <c r="I32" s="23"/>
      <c r="J32" s="23"/>
      <c r="L32" s="14"/>
    </row>
    <row r="33" spans="2:14" ht="16.5" thickBot="1">
      <c r="B33" s="48" t="s">
        <v>173</v>
      </c>
      <c r="C33" s="49" t="s">
        <v>191</v>
      </c>
      <c r="D33" s="50" t="s">
        <v>188</v>
      </c>
      <c r="E33" s="98">
        <v>1.29</v>
      </c>
      <c r="F33" s="20">
        <f t="shared" si="1"/>
        <v>8250.8412298728817</v>
      </c>
      <c r="G33" s="21">
        <f t="shared" ref="G33" si="4">$N$24/$N$25*E33</f>
        <v>8250.8412298728817</v>
      </c>
      <c r="H33" s="30">
        <f>F33-G33</f>
        <v>0</v>
      </c>
      <c r="I33" s="23"/>
      <c r="J33" s="23"/>
    </row>
    <row r="34" spans="2:14" ht="16.5" thickBot="1">
      <c r="B34" s="63" t="s">
        <v>177</v>
      </c>
      <c r="C34" s="52"/>
      <c r="D34" s="52"/>
      <c r="E34" s="96">
        <f>SUM(E25:E33)</f>
        <v>23.480000000000004</v>
      </c>
      <c r="F34" s="53">
        <f>SUM(F25:F33)</f>
        <v>150178.098</v>
      </c>
      <c r="G34" s="54">
        <f>SUM(G25:G33)</f>
        <v>125320.49799999999</v>
      </c>
      <c r="H34" s="35">
        <f>SUM(H25:H33)</f>
        <v>24857.599999999999</v>
      </c>
      <c r="I34" s="36"/>
      <c r="J34" s="36"/>
    </row>
    <row r="35" spans="2:14">
      <c r="B35" s="14"/>
      <c r="C35" s="14"/>
      <c r="D35" s="14"/>
      <c r="E35" s="82"/>
      <c r="F35" s="82"/>
      <c r="G35" s="82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4.2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38"/>
      <c r="J37" s="38"/>
      <c r="K37" s="39"/>
      <c r="L37" s="40"/>
      <c r="M37" s="187"/>
      <c r="N37" s="187"/>
    </row>
    <row r="38" spans="2:14">
      <c r="B38" s="88" t="s">
        <v>14</v>
      </c>
      <c r="C38" s="238">
        <f>E38+G38</f>
        <v>1366662.0179999999</v>
      </c>
      <c r="D38" s="239"/>
      <c r="E38" s="263">
        <f>F25+F26+F27+F28+F29+F30+F31+F33+E16</f>
        <v>1021157.728</v>
      </c>
      <c r="F38" s="264"/>
      <c r="G38" s="263">
        <f>F32+G16</f>
        <v>345504.29</v>
      </c>
      <c r="H38" s="265"/>
      <c r="I38" s="222"/>
      <c r="J38" s="222"/>
      <c r="K38" s="7"/>
      <c r="L38" s="7"/>
      <c r="M38" s="188"/>
    </row>
    <row r="39" spans="2:14">
      <c r="B39" s="89" t="s">
        <v>15</v>
      </c>
      <c r="C39" s="235">
        <f>E39+G39</f>
        <v>1216127.26</v>
      </c>
      <c r="D39" s="236"/>
      <c r="E39" s="235">
        <f>E17+111356.01</f>
        <v>909438.71</v>
      </c>
      <c r="F39" s="236"/>
      <c r="G39" s="235">
        <f>G17+27131.23</f>
        <v>306688.55</v>
      </c>
      <c r="H39" s="237"/>
      <c r="I39" s="222"/>
      <c r="J39" s="222"/>
      <c r="K39" s="9"/>
      <c r="L39" s="7"/>
      <c r="M39" s="188"/>
    </row>
    <row r="40" spans="2:14">
      <c r="B40" s="90" t="s">
        <v>176</v>
      </c>
      <c r="C40" s="235">
        <f>E40+G40</f>
        <v>1419645.7280000001</v>
      </c>
      <c r="D40" s="236"/>
      <c r="E40" s="260">
        <f>G25+G26+G27+G28+G29+G30+G31+G33+E18</f>
        <v>1021157.728</v>
      </c>
      <c r="F40" s="261"/>
      <c r="G40" s="260">
        <f>G32+G18</f>
        <v>398488</v>
      </c>
      <c r="H40" s="262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222"/>
      <c r="J41" s="222"/>
      <c r="K41" s="41"/>
      <c r="L41" s="41"/>
    </row>
    <row r="42" spans="2:14" ht="26.25" customHeight="1" thickBot="1">
      <c r="B42" s="92" t="s">
        <v>275</v>
      </c>
      <c r="C42" s="249">
        <f>E42+G42</f>
        <v>-167518.46800000005</v>
      </c>
      <c r="D42" s="250"/>
      <c r="E42" s="251">
        <f>E39+E41-E40</f>
        <v>-75719.01800000004</v>
      </c>
      <c r="F42" s="252"/>
      <c r="G42" s="251">
        <f>G39-G40</f>
        <v>-91799.450000000012</v>
      </c>
      <c r="H42" s="253"/>
      <c r="I42" s="222"/>
      <c r="J42" s="222"/>
      <c r="K42" s="41"/>
      <c r="L42" s="41"/>
    </row>
    <row r="43" spans="2:14" ht="34.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8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3"/>
    </row>
    <row r="50" spans="2:8" ht="11.25" customHeight="1">
      <c r="C50" s="82"/>
      <c r="E50" s="220"/>
    </row>
    <row r="51" spans="2:8">
      <c r="C51" s="82"/>
    </row>
  </sheetData>
  <mergeCells count="60">
    <mergeCell ref="N22:N23"/>
    <mergeCell ref="C37:D37"/>
    <mergeCell ref="C38:D38"/>
    <mergeCell ref="C15:D15"/>
    <mergeCell ref="C16:D16"/>
    <mergeCell ref="C17:D17"/>
    <mergeCell ref="C18:D18"/>
    <mergeCell ref="C19:D19"/>
    <mergeCell ref="E19:F19"/>
    <mergeCell ref="B36:H36"/>
    <mergeCell ref="E37:F37"/>
    <mergeCell ref="G37:H37"/>
    <mergeCell ref="M22:M23"/>
    <mergeCell ref="E16:F16"/>
    <mergeCell ref="G16:H16"/>
    <mergeCell ref="E17:F17"/>
    <mergeCell ref="F49:G49"/>
    <mergeCell ref="G38:H38"/>
    <mergeCell ref="E39:F39"/>
    <mergeCell ref="G39:H39"/>
    <mergeCell ref="E40:F40"/>
    <mergeCell ref="G40:H40"/>
    <mergeCell ref="E42:F42"/>
    <mergeCell ref="G42:H42"/>
    <mergeCell ref="F46:G46"/>
    <mergeCell ref="F47:G47"/>
    <mergeCell ref="E38:F38"/>
    <mergeCell ref="F45:G45"/>
    <mergeCell ref="F44:G44"/>
    <mergeCell ref="C45:E45"/>
    <mergeCell ref="C47:E47"/>
    <mergeCell ref="C49:E49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G19:H19"/>
    <mergeCell ref="E20:F20"/>
    <mergeCell ref="G20:H20"/>
    <mergeCell ref="G17:H17"/>
    <mergeCell ref="E18:F18"/>
    <mergeCell ref="G18:H18"/>
    <mergeCell ref="B14:H14"/>
    <mergeCell ref="E15:F15"/>
    <mergeCell ref="G15:H15"/>
    <mergeCell ref="F43:G43"/>
    <mergeCell ref="G41:H41"/>
    <mergeCell ref="E41:F41"/>
    <mergeCell ref="C39:D39"/>
    <mergeCell ref="C40:D40"/>
    <mergeCell ref="C41:D41"/>
    <mergeCell ref="C42:D42"/>
    <mergeCell ref="C20:D20"/>
    <mergeCell ref="C43:E43"/>
  </mergeCells>
  <pageMargins left="0.36" right="0.19685039370078741" top="0.42" bottom="0.23622047244094491" header="0.42" footer="0.25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48"/>
  <sheetViews>
    <sheetView topLeftCell="B33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8.140625" style="3" customWidth="1"/>
    <col min="3" max="3" width="22.7109375" style="60" customWidth="1"/>
    <col min="4" max="4" width="10.140625" style="78" customWidth="1"/>
    <col min="5" max="5" width="10.42578125" style="78" customWidth="1"/>
    <col min="6" max="6" width="9.7109375" style="78" customWidth="1"/>
    <col min="7" max="7" width="10.28515625" style="3" customWidth="1"/>
    <col min="8" max="8" width="10.85546875" style="78" customWidth="1"/>
    <col min="9" max="9" width="10.140625" style="3" customWidth="1"/>
    <col min="10" max="10" width="9.140625" style="3"/>
    <col min="11" max="11" width="13.85546875" style="3" customWidth="1"/>
    <col min="12" max="12" width="9.140625" style="3"/>
    <col min="13" max="13" width="13.7109375" style="185" customWidth="1"/>
    <col min="14" max="14" width="14.42578125" style="185" customWidth="1"/>
    <col min="15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4" customHeight="1">
      <c r="B3" s="231"/>
      <c r="C3" s="231"/>
      <c r="D3" s="231"/>
      <c r="E3" s="231"/>
      <c r="F3" s="231"/>
      <c r="G3" s="231"/>
      <c r="H3" s="231"/>
      <c r="I3" s="56"/>
    </row>
    <row r="5" spans="2:9">
      <c r="B5" s="8" t="s">
        <v>0</v>
      </c>
      <c r="C5" s="116"/>
      <c r="D5" s="233" t="s">
        <v>39</v>
      </c>
      <c r="E5" s="233"/>
    </row>
    <row r="6" spans="2:9">
      <c r="B6" s="8" t="s">
        <v>1</v>
      </c>
      <c r="C6" s="116"/>
      <c r="D6" s="217">
        <v>1987</v>
      </c>
      <c r="E6" s="217"/>
    </row>
    <row r="7" spans="2:9" hidden="1" outlineLevel="1">
      <c r="B7" s="8" t="s">
        <v>2</v>
      </c>
      <c r="C7" s="116"/>
      <c r="D7" s="217">
        <v>3</v>
      </c>
      <c r="E7" s="217"/>
    </row>
    <row r="8" spans="2:9" hidden="1" outlineLevel="1">
      <c r="B8" s="8" t="s">
        <v>3</v>
      </c>
      <c r="C8" s="116"/>
      <c r="D8" s="217">
        <v>18</v>
      </c>
      <c r="E8" s="217"/>
    </row>
    <row r="9" spans="2:9" ht="26.25" hidden="1" outlineLevel="1">
      <c r="B9" s="111" t="s">
        <v>4</v>
      </c>
      <c r="C9" s="117"/>
      <c r="D9" s="217" t="s">
        <v>40</v>
      </c>
      <c r="E9" s="217"/>
    </row>
    <row r="10" spans="2:9" collapsed="1">
      <c r="B10" s="8" t="s">
        <v>5</v>
      </c>
      <c r="C10" s="116"/>
      <c r="D10" s="217" t="s">
        <v>219</v>
      </c>
      <c r="E10" s="217"/>
      <c r="I10" s="14"/>
    </row>
    <row r="11" spans="2:9" hidden="1" outlineLevel="1">
      <c r="B11" s="3" t="s">
        <v>6</v>
      </c>
      <c r="D11" s="216" t="s">
        <v>12</v>
      </c>
      <c r="E11" s="216"/>
    </row>
    <row r="12" spans="2:9" ht="31.5" hidden="1" customHeight="1" outlineLevel="1">
      <c r="B12" s="11" t="s">
        <v>7</v>
      </c>
      <c r="C12" s="61"/>
      <c r="D12" s="87" t="s">
        <v>41</v>
      </c>
      <c r="E12" s="216"/>
      <c r="I12" s="14"/>
    </row>
    <row r="13" spans="2:9" collapsed="1">
      <c r="B13" s="11"/>
      <c r="C13" s="61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5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>
      <c r="B16" s="88" t="s">
        <v>14</v>
      </c>
      <c r="C16" s="238">
        <v>1729258.2956022786</v>
      </c>
      <c r="D16" s="239"/>
      <c r="E16" s="238">
        <v>1683531.3956022786</v>
      </c>
      <c r="F16" s="239"/>
      <c r="G16" s="238">
        <v>45726.9</v>
      </c>
      <c r="H16" s="240"/>
      <c r="I16" s="14"/>
    </row>
    <row r="17" spans="2:14">
      <c r="B17" s="89" t="s">
        <v>15</v>
      </c>
      <c r="C17" s="235">
        <v>1743063.0800000003</v>
      </c>
      <c r="D17" s="236"/>
      <c r="E17" s="235">
        <v>1699325.2800000003</v>
      </c>
      <c r="F17" s="236"/>
      <c r="G17" s="235">
        <v>43737.8</v>
      </c>
      <c r="H17" s="237"/>
      <c r="I17" s="14"/>
    </row>
    <row r="18" spans="2:14" ht="16.5" thickBot="1">
      <c r="B18" s="90" t="s">
        <v>176</v>
      </c>
      <c r="C18" s="269">
        <v>1711413.78</v>
      </c>
      <c r="D18" s="270"/>
      <c r="E18" s="269">
        <v>1683531.4</v>
      </c>
      <c r="F18" s="270"/>
      <c r="G18" s="269">
        <v>32221</v>
      </c>
      <c r="H18" s="271"/>
      <c r="I18" s="14"/>
    </row>
    <row r="19" spans="2:14" ht="30" customHeight="1" thickBot="1">
      <c r="B19" s="92" t="s">
        <v>274</v>
      </c>
      <c r="C19" s="249">
        <f>E19+G19</f>
        <v>27310.680000000357</v>
      </c>
      <c r="D19" s="250"/>
      <c r="E19" s="251">
        <f>E17-E18</f>
        <v>15793.880000000354</v>
      </c>
      <c r="F19" s="252"/>
      <c r="G19" s="251">
        <f>G17-G18</f>
        <v>11516.800000000003</v>
      </c>
      <c r="H19" s="253"/>
      <c r="I19" s="14"/>
    </row>
    <row r="20" spans="2:14">
      <c r="B20" s="11"/>
      <c r="C20" s="61"/>
      <c r="D20" s="87"/>
      <c r="E20" s="216"/>
      <c r="I20" s="14"/>
    </row>
    <row r="21" spans="2:14" ht="16.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35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215648.88</v>
      </c>
      <c r="N23" s="204">
        <f>M23</f>
        <v>215648.88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3.25</v>
      </c>
      <c r="F24" s="20">
        <f>$M$23/$M$24*E24</f>
        <v>39241.817469204922</v>
      </c>
      <c r="G24" s="21">
        <f>$N$23/$N$24*E24</f>
        <v>39241.817469204922</v>
      </c>
      <c r="H24" s="22">
        <f>F24-G24</f>
        <v>0</v>
      </c>
      <c r="I24" s="23"/>
      <c r="J24" s="23"/>
      <c r="K24" s="24"/>
      <c r="L24" s="25"/>
      <c r="M24" s="205">
        <f>E33-E31</f>
        <v>17.860000000000003</v>
      </c>
      <c r="N24" s="205">
        <f>E33-E31</f>
        <v>17.860000000000003</v>
      </c>
    </row>
    <row r="25" spans="2:14" ht="56.25">
      <c r="B25" s="26" t="s">
        <v>189</v>
      </c>
      <c r="C25" s="6" t="s">
        <v>205</v>
      </c>
      <c r="D25" s="19" t="s">
        <v>188</v>
      </c>
      <c r="E25" s="94">
        <v>3.6</v>
      </c>
      <c r="F25" s="20">
        <f>$M$23/$M$24*E25</f>
        <v>43467.85935050391</v>
      </c>
      <c r="G25" s="21">
        <f>$N$23/$N$24*E25</f>
        <v>43467.85935050391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5.5" customHeight="1">
      <c r="B26" s="27" t="s">
        <v>171</v>
      </c>
      <c r="C26" s="6" t="s">
        <v>205</v>
      </c>
      <c r="D26" s="19" t="s">
        <v>188</v>
      </c>
      <c r="E26" s="94">
        <v>0.32</v>
      </c>
      <c r="F26" s="20">
        <f t="shared" ref="F26:F32" si="1">$M$23/$M$24*E26</f>
        <v>3863.8097200447919</v>
      </c>
      <c r="G26" s="21">
        <f t="shared" ref="G26:G29" si="2">$N$23/$N$24*E26</f>
        <v>3863.8097200447919</v>
      </c>
      <c r="H26" s="22">
        <f t="shared" si="0"/>
        <v>0</v>
      </c>
      <c r="I26" s="23"/>
      <c r="J26" s="23"/>
      <c r="L26" s="14"/>
    </row>
    <row r="27" spans="2:14" ht="29.25" customHeight="1">
      <c r="B27" s="27" t="s">
        <v>172</v>
      </c>
      <c r="C27" s="28" t="s">
        <v>190</v>
      </c>
      <c r="D27" s="19" t="s">
        <v>188</v>
      </c>
      <c r="E27" s="94">
        <v>0.65</v>
      </c>
      <c r="F27" s="20">
        <f t="shared" ref="F27" si="3">$M$23/$M$24*E27</f>
        <v>7848.3634938409841</v>
      </c>
      <c r="G27" s="21">
        <f t="shared" ref="G27" si="4">$N$23/$N$24*E27</f>
        <v>7848.3634938409841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1.75</v>
      </c>
      <c r="F28" s="20">
        <f t="shared" si="1"/>
        <v>21130.209406494956</v>
      </c>
      <c r="G28" s="21">
        <f t="shared" si="2"/>
        <v>21130.209406494956</v>
      </c>
      <c r="H28" s="22">
        <f t="shared" si="0"/>
        <v>0</v>
      </c>
      <c r="I28" s="23"/>
      <c r="J28" s="23"/>
    </row>
    <row r="29" spans="2:14" ht="214.5" customHeight="1">
      <c r="B29" s="26" t="s">
        <v>203</v>
      </c>
      <c r="C29" s="29" t="s">
        <v>191</v>
      </c>
      <c r="D29" s="19" t="s">
        <v>188</v>
      </c>
      <c r="E29" s="94">
        <v>6.75</v>
      </c>
      <c r="F29" s="20">
        <f t="shared" si="1"/>
        <v>81502.236282194834</v>
      </c>
      <c r="G29" s="21">
        <f t="shared" si="2"/>
        <v>81502.236282194834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12.5" customHeight="1">
      <c r="B30" s="26" t="s">
        <v>192</v>
      </c>
      <c r="C30" s="6" t="s">
        <v>205</v>
      </c>
      <c r="D30" s="19" t="s">
        <v>188</v>
      </c>
      <c r="E30" s="94">
        <v>0.35</v>
      </c>
      <c r="F30" s="20">
        <f t="shared" si="1"/>
        <v>4226.041881298991</v>
      </c>
      <c r="G30" s="21">
        <f t="shared" ref="G30" si="5">$N$23/$N$24*E30</f>
        <v>4226.041881298991</v>
      </c>
      <c r="H30" s="22">
        <f t="shared" si="0"/>
        <v>0</v>
      </c>
      <c r="I30" s="23"/>
      <c r="J30" s="23"/>
    </row>
    <row r="31" spans="2:14" ht="56.25" customHeight="1">
      <c r="B31" s="27" t="s">
        <v>193</v>
      </c>
      <c r="C31" s="6" t="s">
        <v>205</v>
      </c>
      <c r="D31" s="19" t="s">
        <v>188</v>
      </c>
      <c r="E31" s="94">
        <v>0</v>
      </c>
      <c r="F31" s="20">
        <v>0</v>
      </c>
      <c r="G31" s="4">
        <v>0</v>
      </c>
      <c r="H31" s="22">
        <f>F31-G31</f>
        <v>0</v>
      </c>
      <c r="I31" s="23"/>
      <c r="J31" s="23"/>
      <c r="L31" s="14"/>
    </row>
    <row r="32" spans="2:14" ht="16.5" thickBot="1">
      <c r="B32" s="64" t="s">
        <v>173</v>
      </c>
      <c r="C32" s="49" t="s">
        <v>191</v>
      </c>
      <c r="D32" s="50" t="s">
        <v>188</v>
      </c>
      <c r="E32" s="95">
        <v>1.19</v>
      </c>
      <c r="F32" s="20">
        <f t="shared" si="1"/>
        <v>14368.542396416569</v>
      </c>
      <c r="G32" s="21">
        <f t="shared" ref="G32" si="6">$N$23/$N$24*E32</f>
        <v>14368.542396416569</v>
      </c>
      <c r="H32" s="30">
        <f>F32-G32</f>
        <v>0</v>
      </c>
      <c r="I32" s="23"/>
      <c r="J32" s="23"/>
    </row>
    <row r="33" spans="2:14" ht="16.5" thickBot="1">
      <c r="B33" s="63" t="s">
        <v>177</v>
      </c>
      <c r="C33" s="52"/>
      <c r="D33" s="52"/>
      <c r="E33" s="96">
        <f>SUM(E24:E32)</f>
        <v>17.860000000000003</v>
      </c>
      <c r="F33" s="53">
        <f>SUM(F24:F32)</f>
        <v>215648.87999999998</v>
      </c>
      <c r="G33" s="54">
        <f>SUM(G24:G32)</f>
        <v>215648.87999999998</v>
      </c>
      <c r="H33" s="35">
        <f>SUM(H24:H32)</f>
        <v>0</v>
      </c>
      <c r="I33" s="36"/>
      <c r="J33" s="36"/>
    </row>
    <row r="34" spans="2:14">
      <c r="B34" s="14"/>
      <c r="C34" s="14"/>
      <c r="D34" s="14"/>
      <c r="E34" s="82"/>
      <c r="F34" s="82"/>
      <c r="G34" s="82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1944907.1756022784</v>
      </c>
      <c r="D37" s="239"/>
      <c r="E37" s="263">
        <f>F24+F25+F26+F27+F28+F29+F30+F32+E16</f>
        <v>1899180.2756022785</v>
      </c>
      <c r="F37" s="264"/>
      <c r="G37" s="263">
        <f>F31+G16</f>
        <v>45726.9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1956224.5200000003</v>
      </c>
      <c r="D38" s="236"/>
      <c r="E38" s="235">
        <f>E17+213161.44</f>
        <v>1912486.7200000002</v>
      </c>
      <c r="F38" s="236"/>
      <c r="G38" s="235">
        <f>G17</f>
        <v>43737.8</v>
      </c>
      <c r="H38" s="237"/>
      <c r="I38" s="222"/>
      <c r="J38" s="222"/>
      <c r="K38" s="9"/>
      <c r="L38" s="7"/>
      <c r="M38" s="188"/>
    </row>
    <row r="39" spans="2:14" ht="18.75" customHeight="1" thickBot="1">
      <c r="B39" s="90" t="s">
        <v>176</v>
      </c>
      <c r="C39" s="269">
        <f>E39+G39</f>
        <v>1931401.2799999998</v>
      </c>
      <c r="D39" s="270"/>
      <c r="E39" s="260">
        <f>G24+G25+G26+G27+G28+G29+G30+G32+E18</f>
        <v>1899180.2799999998</v>
      </c>
      <c r="F39" s="261"/>
      <c r="G39" s="260">
        <f>G31+G18</f>
        <v>32221</v>
      </c>
      <c r="H39" s="262"/>
      <c r="I39" s="222"/>
      <c r="J39" s="222"/>
      <c r="K39" s="41"/>
      <c r="L39" s="41"/>
    </row>
    <row r="40" spans="2:14" ht="25.5" thickBot="1">
      <c r="B40" s="92" t="s">
        <v>275</v>
      </c>
      <c r="C40" s="249">
        <f>E40+G40</f>
        <v>24823.240000000413</v>
      </c>
      <c r="D40" s="250"/>
      <c r="E40" s="251">
        <f>E38-E39</f>
        <v>13306.44000000041</v>
      </c>
      <c r="F40" s="252"/>
      <c r="G40" s="251">
        <f>G38-G39</f>
        <v>11516.800000000003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3"/>
    </row>
    <row r="48" spans="2:14" ht="9" customHeight="1">
      <c r="C48" s="82"/>
      <c r="E48" s="220"/>
    </row>
  </sheetData>
  <mergeCells count="54">
    <mergeCell ref="C38:D38"/>
    <mergeCell ref="B35:H35"/>
    <mergeCell ref="E38:F38"/>
    <mergeCell ref="G38:H38"/>
    <mergeCell ref="E36:F36"/>
    <mergeCell ref="G36:H36"/>
    <mergeCell ref="C19:D19"/>
    <mergeCell ref="M21:M22"/>
    <mergeCell ref="N21:N22"/>
    <mergeCell ref="C36:D36"/>
    <mergeCell ref="C37:D37"/>
    <mergeCell ref="G17:H17"/>
    <mergeCell ref="C15:D15"/>
    <mergeCell ref="C16:D16"/>
    <mergeCell ref="C17:D17"/>
    <mergeCell ref="C18:D18"/>
    <mergeCell ref="E39:F39"/>
    <mergeCell ref="G39:H39"/>
    <mergeCell ref="E18:F18"/>
    <mergeCell ref="G18:H18"/>
    <mergeCell ref="E19:F19"/>
    <mergeCell ref="G19:H19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6:F16"/>
    <mergeCell ref="G16:H16"/>
    <mergeCell ref="E17:F17"/>
    <mergeCell ref="C47:E47"/>
    <mergeCell ref="F44:G44"/>
    <mergeCell ref="F45:G45"/>
    <mergeCell ref="E37:F37"/>
    <mergeCell ref="G37:H37"/>
    <mergeCell ref="C39:D39"/>
    <mergeCell ref="C40:D40"/>
    <mergeCell ref="F42:G42"/>
    <mergeCell ref="F43:G43"/>
    <mergeCell ref="E40:F40"/>
    <mergeCell ref="G40:H40"/>
    <mergeCell ref="F41:G41"/>
    <mergeCell ref="C41:E41"/>
    <mergeCell ref="C43:E43"/>
    <mergeCell ref="C45:E45"/>
    <mergeCell ref="F47:G47"/>
  </mergeCells>
  <printOptions horizontalCentered="1"/>
  <pageMargins left="0.22" right="0.19685039370078741" top="0.2" bottom="0.23622047244094491" header="0.19685039370078741" footer="0.23622047244094491"/>
  <pageSetup paperSize="9" scale="4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2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85546875" style="3" customWidth="1"/>
    <col min="3" max="3" width="21" style="82" customWidth="1"/>
    <col min="4" max="4" width="9.42578125" style="78" customWidth="1"/>
    <col min="5" max="5" width="10.7109375" style="78" customWidth="1"/>
    <col min="6" max="6" width="10.28515625" style="78" customWidth="1"/>
    <col min="7" max="7" width="10.28515625" style="3" customWidth="1"/>
    <col min="8" max="8" width="10.5703125" style="78" customWidth="1"/>
    <col min="9" max="9" width="11.42578125" style="3" customWidth="1"/>
    <col min="10" max="10" width="13.140625" style="3" customWidth="1"/>
    <col min="11" max="11" width="13.85546875" style="3" customWidth="1"/>
    <col min="12" max="12" width="9.140625" style="3"/>
    <col min="13" max="13" width="15.140625" style="185" customWidth="1"/>
    <col min="14" max="14" width="14.42578125" style="185" customWidth="1"/>
    <col min="15" max="16384" width="9.140625" style="3"/>
  </cols>
  <sheetData>
    <row r="1" spans="2:12">
      <c r="B1" s="272" t="s">
        <v>196</v>
      </c>
      <c r="C1" s="272"/>
      <c r="D1" s="272"/>
      <c r="E1" s="272"/>
      <c r="F1" s="272"/>
      <c r="G1" s="272"/>
      <c r="H1" s="272"/>
    </row>
    <row r="2" spans="2:12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12" ht="26.25" customHeight="1">
      <c r="B3" s="231"/>
      <c r="C3" s="231"/>
      <c r="D3" s="231"/>
      <c r="E3" s="231"/>
      <c r="F3" s="231"/>
      <c r="G3" s="231"/>
      <c r="H3" s="231"/>
      <c r="I3" s="56"/>
    </row>
    <row r="4" spans="2:12" ht="15" customHeight="1"/>
    <row r="5" spans="2:12">
      <c r="B5" s="7" t="s">
        <v>0</v>
      </c>
      <c r="C5" s="118"/>
      <c r="D5" s="119" t="s">
        <v>42</v>
      </c>
      <c r="E5" s="120"/>
    </row>
    <row r="6" spans="2:12">
      <c r="B6" s="7" t="s">
        <v>1</v>
      </c>
      <c r="C6" s="118"/>
      <c r="D6" s="119">
        <v>1962</v>
      </c>
      <c r="E6" s="217"/>
    </row>
    <row r="7" spans="2:12" hidden="1" outlineLevel="1">
      <c r="B7" s="7" t="s">
        <v>2</v>
      </c>
      <c r="C7" s="118"/>
      <c r="D7" s="119">
        <v>2</v>
      </c>
      <c r="E7" s="217"/>
    </row>
    <row r="8" spans="2:12" hidden="1" outlineLevel="1">
      <c r="B8" s="7" t="s">
        <v>3</v>
      </c>
      <c r="C8" s="118"/>
      <c r="D8" s="119">
        <v>8</v>
      </c>
      <c r="E8" s="217"/>
    </row>
    <row r="9" spans="2:12" ht="26.25" hidden="1" outlineLevel="1">
      <c r="B9" s="79" t="s">
        <v>4</v>
      </c>
      <c r="C9" s="121"/>
      <c r="D9" s="119" t="s">
        <v>43</v>
      </c>
      <c r="E9" s="217"/>
    </row>
    <row r="10" spans="2:12" collapsed="1">
      <c r="B10" s="7" t="s">
        <v>5</v>
      </c>
      <c r="C10" s="118"/>
      <c r="D10" s="119" t="s">
        <v>220</v>
      </c>
      <c r="E10" s="217"/>
      <c r="I10" s="14"/>
    </row>
    <row r="11" spans="2:12" hidden="1" outlineLevel="1">
      <c r="B11" s="41" t="s">
        <v>6</v>
      </c>
      <c r="C11" s="65"/>
      <c r="D11" s="86" t="s">
        <v>12</v>
      </c>
      <c r="E11" s="216"/>
    </row>
    <row r="12" spans="2:12" ht="31.5" hidden="1" customHeight="1" outlineLevel="1">
      <c r="B12" s="66" t="s">
        <v>7</v>
      </c>
      <c r="C12" s="67"/>
      <c r="D12" s="85" t="s">
        <v>44</v>
      </c>
      <c r="E12" s="216"/>
      <c r="I12" s="14"/>
      <c r="L12" s="3" t="e">
        <f>#REF!+#REF!</f>
        <v>#REF!</v>
      </c>
    </row>
    <row r="13" spans="2:12" collapsed="1">
      <c r="B13" s="66"/>
      <c r="C13" s="67"/>
      <c r="D13" s="85"/>
      <c r="E13" s="216"/>
      <c r="I13" s="14"/>
    </row>
    <row r="14" spans="2:12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12" ht="45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12">
      <c r="B16" s="88" t="s">
        <v>14</v>
      </c>
      <c r="C16" s="238">
        <v>801665.86160099332</v>
      </c>
      <c r="D16" s="273"/>
      <c r="E16" s="263">
        <v>568364.66160099336</v>
      </c>
      <c r="F16" s="264"/>
      <c r="G16" s="263">
        <v>233301.19999999998</v>
      </c>
      <c r="H16" s="265"/>
      <c r="I16" s="14"/>
    </row>
    <row r="17" spans="2:14">
      <c r="B17" s="89" t="s">
        <v>15</v>
      </c>
      <c r="C17" s="235">
        <v>775419.24</v>
      </c>
      <c r="D17" s="236"/>
      <c r="E17" s="235">
        <v>551096.24</v>
      </c>
      <c r="F17" s="236"/>
      <c r="G17" s="235">
        <v>224322.99999999997</v>
      </c>
      <c r="H17" s="237"/>
      <c r="I17" s="14"/>
    </row>
    <row r="18" spans="2:14">
      <c r="B18" s="90" t="s">
        <v>176</v>
      </c>
      <c r="C18" s="235">
        <v>805722.66</v>
      </c>
      <c r="D18" s="236"/>
      <c r="E18" s="260">
        <v>568364.66</v>
      </c>
      <c r="F18" s="261"/>
      <c r="G18" s="260">
        <v>237358</v>
      </c>
      <c r="H18" s="262"/>
      <c r="I18" s="14"/>
    </row>
    <row r="19" spans="2:14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4" ht="32.25" customHeight="1" thickBot="1">
      <c r="B20" s="92" t="s">
        <v>274</v>
      </c>
      <c r="C20" s="249">
        <f>E20+G20</f>
        <v>2096.579999999929</v>
      </c>
      <c r="D20" s="250"/>
      <c r="E20" s="251">
        <f>E17+E19-E18</f>
        <v>15131.579999999958</v>
      </c>
      <c r="F20" s="252"/>
      <c r="G20" s="251">
        <f>G17-G18</f>
        <v>-13035.000000000029</v>
      </c>
      <c r="H20" s="253"/>
      <c r="I20" s="14"/>
    </row>
    <row r="21" spans="2:14">
      <c r="B21" s="11"/>
      <c r="C21" s="61"/>
      <c r="D21" s="87"/>
      <c r="E21" s="216"/>
      <c r="I21" s="14"/>
    </row>
    <row r="22" spans="2:14" ht="20.25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4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I23" s="15"/>
      <c r="J23" s="15"/>
      <c r="L23" s="14"/>
      <c r="M23" s="242"/>
      <c r="N23" s="242"/>
    </row>
    <row r="24" spans="2:14" ht="4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I24" s="15"/>
      <c r="J24" s="15"/>
      <c r="M24" s="204">
        <v>80211.960000000006</v>
      </c>
      <c r="N24" s="204">
        <f>M24</f>
        <v>80211.960000000006</v>
      </c>
    </row>
    <row r="25" spans="2:14" ht="50.25" customHeight="1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15156.072000000004</v>
      </c>
      <c r="G25" s="21">
        <f>$N$24/$N$25*E25</f>
        <v>15156.072000000004</v>
      </c>
      <c r="H25" s="22">
        <f>F25-G25</f>
        <v>0</v>
      </c>
      <c r="I25" s="23"/>
      <c r="J25" s="23"/>
      <c r="K25" s="24"/>
      <c r="L25" s="25"/>
      <c r="M25" s="205">
        <f>E34-E32</f>
        <v>18.099999999999998</v>
      </c>
      <c r="N25" s="205">
        <f>E34-E32</f>
        <v>18.099999999999998</v>
      </c>
    </row>
    <row r="26" spans="2:14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16840.080000000005</v>
      </c>
      <c r="G26" s="21">
        <f>$N$24/$N$25*E26</f>
        <v>16840.080000000005</v>
      </c>
      <c r="H26" s="22">
        <f t="shared" ref="H26:H31" si="0">F26-G26</f>
        <v>0</v>
      </c>
      <c r="I26" s="23"/>
      <c r="J26" s="23"/>
      <c r="K26" s="2"/>
      <c r="L26" s="2"/>
      <c r="M26" s="186"/>
      <c r="N26" s="186"/>
    </row>
    <row r="27" spans="2:14" ht="55.5" customHeight="1">
      <c r="B27" s="27" t="s">
        <v>171</v>
      </c>
      <c r="C27" s="6" t="s">
        <v>205</v>
      </c>
      <c r="D27" s="19" t="s">
        <v>188</v>
      </c>
      <c r="E27" s="94">
        <v>0.32</v>
      </c>
      <c r="F27" s="20">
        <f t="shared" ref="F27:F33" si="1">$M$24/$M$25*E27</f>
        <v>1418.1120000000005</v>
      </c>
      <c r="G27" s="21">
        <f t="shared" ref="G27:G30" si="2">$N$24/$N$25*E27</f>
        <v>1418.1120000000005</v>
      </c>
      <c r="H27" s="22">
        <f t="shared" si="0"/>
        <v>0</v>
      </c>
      <c r="I27" s="23"/>
      <c r="J27" s="23"/>
      <c r="L27" s="14"/>
    </row>
    <row r="28" spans="2:14" ht="29.25" customHeight="1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ref="F28" si="3">$M$24/$M$25*E28</f>
        <v>2836.2240000000011</v>
      </c>
      <c r="G28" s="21">
        <f t="shared" ref="G28" si="4">$N$24/$N$25*E28</f>
        <v>2836.2240000000011</v>
      </c>
      <c r="H28" s="22">
        <f t="shared" si="0"/>
        <v>0</v>
      </c>
      <c r="I28" s="23"/>
      <c r="J28" s="23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1.52</v>
      </c>
      <c r="F29" s="20">
        <f t="shared" si="1"/>
        <v>6736.032000000002</v>
      </c>
      <c r="G29" s="21">
        <f t="shared" si="2"/>
        <v>6736.032000000002</v>
      </c>
      <c r="H29" s="22">
        <f t="shared" si="0"/>
        <v>0</v>
      </c>
      <c r="I29" s="23"/>
      <c r="J29" s="23"/>
    </row>
    <row r="30" spans="2:14" ht="211.5" customHeight="1">
      <c r="B30" s="26" t="s">
        <v>203</v>
      </c>
      <c r="C30" s="29" t="s">
        <v>191</v>
      </c>
      <c r="D30" s="19" t="s">
        <v>188</v>
      </c>
      <c r="E30" s="94">
        <v>7.17</v>
      </c>
      <c r="F30" s="20">
        <f t="shared" si="1"/>
        <v>31774.572000000007</v>
      </c>
      <c r="G30" s="21">
        <f t="shared" si="2"/>
        <v>31774.572000000007</v>
      </c>
      <c r="H30" s="22">
        <f t="shared" si="0"/>
        <v>0</v>
      </c>
      <c r="I30" s="23"/>
      <c r="J30" s="23"/>
      <c r="K30" s="2"/>
      <c r="L30" s="1"/>
      <c r="M30" s="186"/>
      <c r="N30" s="186"/>
    </row>
    <row r="31" spans="2:14" ht="112.5" customHeight="1">
      <c r="B31" s="26" t="s">
        <v>192</v>
      </c>
      <c r="C31" s="6" t="s">
        <v>205</v>
      </c>
      <c r="D31" s="19" t="s">
        <v>188</v>
      </c>
      <c r="E31" s="94">
        <v>0.3</v>
      </c>
      <c r="F31" s="20">
        <f t="shared" si="1"/>
        <v>1329.4800000000002</v>
      </c>
      <c r="G31" s="21">
        <f t="shared" ref="G31" si="5">$N$24/$N$25*E31</f>
        <v>1329.4800000000002</v>
      </c>
      <c r="H31" s="22">
        <f t="shared" si="0"/>
        <v>0</v>
      </c>
      <c r="I31" s="23"/>
      <c r="J31" s="23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4.8</v>
      </c>
      <c r="F32" s="20">
        <v>21271.68</v>
      </c>
      <c r="G32" s="4">
        <v>0</v>
      </c>
      <c r="H32" s="22">
        <f>F32-G32</f>
        <v>21271.68</v>
      </c>
      <c r="I32" s="23"/>
      <c r="J32" s="23"/>
      <c r="L32" s="14"/>
    </row>
    <row r="33" spans="2:14" ht="16.5" thickBot="1">
      <c r="B33" s="64" t="s">
        <v>173</v>
      </c>
      <c r="C33" s="49" t="s">
        <v>191</v>
      </c>
      <c r="D33" s="50" t="s">
        <v>188</v>
      </c>
      <c r="E33" s="95">
        <v>0.93</v>
      </c>
      <c r="F33" s="20">
        <f t="shared" si="1"/>
        <v>4121.3880000000017</v>
      </c>
      <c r="G33" s="21">
        <f t="shared" ref="G33" si="6">$N$24/$N$25*E33</f>
        <v>4121.3880000000017</v>
      </c>
      <c r="H33" s="30">
        <f>F33-G33</f>
        <v>0</v>
      </c>
      <c r="I33" s="23"/>
      <c r="J33" s="23"/>
    </row>
    <row r="34" spans="2:14" ht="16.5" thickBot="1">
      <c r="B34" s="63" t="s">
        <v>177</v>
      </c>
      <c r="C34" s="52"/>
      <c r="D34" s="52"/>
      <c r="E34" s="96">
        <f>SUM(E25:E33)</f>
        <v>22.9</v>
      </c>
      <c r="F34" s="53">
        <f>SUM(F25:F33)</f>
        <v>101483.64000000001</v>
      </c>
      <c r="G34" s="54">
        <f>SUM(G25:G33)</f>
        <v>80211.960000000021</v>
      </c>
      <c r="H34" s="35">
        <f>SUM(H25:H33)</f>
        <v>21271.68</v>
      </c>
      <c r="I34" s="36"/>
      <c r="J34" s="36"/>
    </row>
    <row r="35" spans="2:14">
      <c r="B35" s="14"/>
      <c r="C35" s="14"/>
      <c r="D35" s="14"/>
      <c r="E35" s="82"/>
      <c r="F35" s="82"/>
      <c r="G35" s="82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4.2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38"/>
      <c r="J37" s="38"/>
      <c r="K37" s="39"/>
      <c r="L37" s="40"/>
      <c r="M37" s="187"/>
      <c r="N37" s="187"/>
    </row>
    <row r="38" spans="2:14">
      <c r="B38" s="88" t="s">
        <v>14</v>
      </c>
      <c r="C38" s="238">
        <f>E38+G38</f>
        <v>903149.50160099345</v>
      </c>
      <c r="D38" s="239"/>
      <c r="E38" s="263">
        <f>F25+F26+F27+F28+F29+F30+F31+F33+E16</f>
        <v>648576.62160099344</v>
      </c>
      <c r="F38" s="264"/>
      <c r="G38" s="263">
        <f>F32+G16</f>
        <v>254572.87999999998</v>
      </c>
      <c r="H38" s="265"/>
      <c r="I38" s="222"/>
      <c r="J38" s="222"/>
      <c r="K38" s="7"/>
      <c r="L38" s="7"/>
      <c r="M38" s="188"/>
    </row>
    <row r="39" spans="2:14">
      <c r="B39" s="89" t="s">
        <v>15</v>
      </c>
      <c r="C39" s="235">
        <f>E39+G39</f>
        <v>868732.12999999989</v>
      </c>
      <c r="D39" s="236"/>
      <c r="E39" s="235">
        <f>E17+73753.86</f>
        <v>624850.1</v>
      </c>
      <c r="F39" s="236"/>
      <c r="G39" s="235">
        <f>G17+19559.03</f>
        <v>243882.02999999997</v>
      </c>
      <c r="H39" s="237"/>
      <c r="I39" s="222"/>
      <c r="J39" s="222"/>
      <c r="K39" s="9"/>
      <c r="L39" s="7"/>
      <c r="M39" s="188"/>
    </row>
    <row r="40" spans="2:14">
      <c r="B40" s="90" t="s">
        <v>176</v>
      </c>
      <c r="C40" s="235">
        <f>E40+G40</f>
        <v>885934.62000000011</v>
      </c>
      <c r="D40" s="236"/>
      <c r="E40" s="260">
        <f>G25+G26+G27+G28+G29+G30+G31+G33+E18</f>
        <v>648576.62000000011</v>
      </c>
      <c r="F40" s="261"/>
      <c r="G40" s="260">
        <f>G32+G18</f>
        <v>237358</v>
      </c>
      <c r="H40" s="262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222"/>
      <c r="J41" s="222"/>
      <c r="K41" s="41"/>
      <c r="L41" s="41"/>
    </row>
    <row r="42" spans="2:14" ht="27.75" customHeight="1" thickBot="1">
      <c r="B42" s="92" t="s">
        <v>275</v>
      </c>
      <c r="C42" s="249">
        <f>E42+G42</f>
        <v>18797.509999999835</v>
      </c>
      <c r="D42" s="250"/>
      <c r="E42" s="251">
        <f>E39+E41-E40</f>
        <v>12273.479999999865</v>
      </c>
      <c r="F42" s="252"/>
      <c r="G42" s="251">
        <f>G39-G40</f>
        <v>6524.0299999999697</v>
      </c>
      <c r="H42" s="253"/>
      <c r="I42" s="222"/>
      <c r="J42" s="222"/>
      <c r="K42" s="41"/>
      <c r="L42" s="41"/>
    </row>
    <row r="43" spans="2:14" ht="34.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8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3"/>
    </row>
    <row r="50" spans="2:8" ht="9" customHeight="1">
      <c r="E50" s="220"/>
    </row>
    <row r="51" spans="2:8">
      <c r="C51" s="60"/>
    </row>
    <row r="52" spans="2:8">
      <c r="C52" s="60"/>
    </row>
  </sheetData>
  <mergeCells count="59">
    <mergeCell ref="N22:N23"/>
    <mergeCell ref="C39:D39"/>
    <mergeCell ref="C40:D40"/>
    <mergeCell ref="C41:D41"/>
    <mergeCell ref="C42:D42"/>
    <mergeCell ref="M22:M23"/>
    <mergeCell ref="E41:F41"/>
    <mergeCell ref="G41:H41"/>
    <mergeCell ref="E40:F40"/>
    <mergeCell ref="B36:H36"/>
    <mergeCell ref="E37:F37"/>
    <mergeCell ref="G37:H37"/>
    <mergeCell ref="E38:F38"/>
    <mergeCell ref="G38:H38"/>
    <mergeCell ref="C37:D37"/>
    <mergeCell ref="C38:D38"/>
    <mergeCell ref="C15:D15"/>
    <mergeCell ref="C16:D16"/>
    <mergeCell ref="C17:D17"/>
    <mergeCell ref="C18:D18"/>
    <mergeCell ref="C19:D19"/>
    <mergeCell ref="G17:H17"/>
    <mergeCell ref="E20:F20"/>
    <mergeCell ref="G20:H20"/>
    <mergeCell ref="E18:F18"/>
    <mergeCell ref="G18:H18"/>
    <mergeCell ref="E19:F19"/>
    <mergeCell ref="G19:H19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B14:H14"/>
    <mergeCell ref="E15:F15"/>
    <mergeCell ref="G15:H15"/>
    <mergeCell ref="C20:D20"/>
    <mergeCell ref="E16:F16"/>
    <mergeCell ref="G16:H16"/>
    <mergeCell ref="E17:F17"/>
    <mergeCell ref="F49:G49"/>
    <mergeCell ref="E42:F42"/>
    <mergeCell ref="E39:F39"/>
    <mergeCell ref="F46:G46"/>
    <mergeCell ref="F47:G47"/>
    <mergeCell ref="G40:H40"/>
    <mergeCell ref="G42:H42"/>
    <mergeCell ref="F43:G43"/>
    <mergeCell ref="F44:G44"/>
    <mergeCell ref="F45:G45"/>
    <mergeCell ref="G39:H39"/>
    <mergeCell ref="C43:E43"/>
    <mergeCell ref="C45:E45"/>
    <mergeCell ref="C47:E47"/>
    <mergeCell ref="C49:E49"/>
  </mergeCells>
  <pageMargins left="0.19685039370078741" right="0.19685039370078741" top="0.16" bottom="0.23622047244094491" header="0.31496062992125984" footer="0.25"/>
  <pageSetup paperSize="9" scale="4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2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42578125" style="3" customWidth="1"/>
    <col min="3" max="3" width="20.140625" style="82" customWidth="1"/>
    <col min="4" max="5" width="10.7109375" style="78" customWidth="1"/>
    <col min="6" max="6" width="10.28515625" style="78" customWidth="1"/>
    <col min="7" max="7" width="10.28515625" style="3" customWidth="1"/>
    <col min="8" max="8" width="10.7109375" style="78" customWidth="1"/>
    <col min="9" max="9" width="10.7109375" style="3" bestFit="1" customWidth="1"/>
    <col min="10" max="10" width="10.5703125" style="3" customWidth="1"/>
    <col min="11" max="11" width="13.85546875" style="3" customWidth="1"/>
    <col min="12" max="12" width="12.7109375" style="3" customWidth="1"/>
    <col min="13" max="13" width="15.140625" style="185" customWidth="1"/>
    <col min="14" max="14" width="17.5703125" style="185" customWidth="1"/>
    <col min="15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5.5" customHeight="1">
      <c r="B3" s="231"/>
      <c r="C3" s="231"/>
      <c r="D3" s="231"/>
      <c r="E3" s="231"/>
      <c r="F3" s="231"/>
      <c r="G3" s="231"/>
      <c r="H3" s="231"/>
      <c r="I3" s="56"/>
    </row>
    <row r="4" spans="2:9" ht="13.5" customHeight="1"/>
    <row r="5" spans="2:9">
      <c r="B5" s="7" t="s">
        <v>0</v>
      </c>
      <c r="C5" s="118"/>
      <c r="D5" s="119" t="s">
        <v>45</v>
      </c>
      <c r="E5" s="120"/>
    </row>
    <row r="6" spans="2:9">
      <c r="B6" s="7" t="s">
        <v>1</v>
      </c>
      <c r="C6" s="118"/>
      <c r="D6" s="119">
        <v>1961</v>
      </c>
      <c r="E6" s="217"/>
    </row>
    <row r="7" spans="2:9" hidden="1" outlineLevel="1">
      <c r="B7" s="7" t="s">
        <v>2</v>
      </c>
      <c r="C7" s="118"/>
      <c r="D7" s="119">
        <v>2</v>
      </c>
      <c r="E7" s="217"/>
    </row>
    <row r="8" spans="2:9" hidden="1" outlineLevel="1">
      <c r="B8" s="7" t="s">
        <v>3</v>
      </c>
      <c r="C8" s="118"/>
      <c r="D8" s="119">
        <v>8</v>
      </c>
      <c r="E8" s="217"/>
    </row>
    <row r="9" spans="2:9" ht="26.25" hidden="1" outlineLevel="1">
      <c r="B9" s="79" t="s">
        <v>4</v>
      </c>
      <c r="C9" s="121"/>
      <c r="D9" s="119" t="s">
        <v>46</v>
      </c>
      <c r="E9" s="217"/>
    </row>
    <row r="10" spans="2:9" collapsed="1">
      <c r="B10" s="7" t="s">
        <v>5</v>
      </c>
      <c r="C10" s="118"/>
      <c r="D10" s="119" t="s">
        <v>221</v>
      </c>
      <c r="E10" s="217"/>
      <c r="I10" s="14"/>
    </row>
    <row r="11" spans="2:9" hidden="1" outlineLevel="1">
      <c r="B11" s="41" t="s">
        <v>6</v>
      </c>
      <c r="C11" s="65"/>
      <c r="D11" s="86" t="s">
        <v>12</v>
      </c>
      <c r="E11" s="216"/>
    </row>
    <row r="12" spans="2:9" ht="31.5" hidden="1" customHeight="1" outlineLevel="1">
      <c r="B12" s="66" t="s">
        <v>7</v>
      </c>
      <c r="C12" s="67"/>
      <c r="D12" s="85" t="s">
        <v>47</v>
      </c>
      <c r="E12" s="216"/>
      <c r="I12" s="14"/>
    </row>
    <row r="13" spans="2:9" ht="10.5" customHeight="1" collapsed="1">
      <c r="B13" s="66"/>
      <c r="C13" s="67"/>
      <c r="D13" s="85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39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>
      <c r="B16" s="88" t="s">
        <v>14</v>
      </c>
      <c r="C16" s="238">
        <v>815635.59</v>
      </c>
      <c r="D16" s="239"/>
      <c r="E16" s="238">
        <v>585160.91999999993</v>
      </c>
      <c r="F16" s="239"/>
      <c r="G16" s="238">
        <v>230474.67000000004</v>
      </c>
      <c r="H16" s="240"/>
      <c r="I16" s="14"/>
    </row>
    <row r="17" spans="2:14">
      <c r="B17" s="89" t="s">
        <v>15</v>
      </c>
      <c r="C17" s="235">
        <v>804972.53</v>
      </c>
      <c r="D17" s="236"/>
      <c r="E17" s="235">
        <v>578026.43000000005</v>
      </c>
      <c r="F17" s="236"/>
      <c r="G17" s="235">
        <v>226946.09999999998</v>
      </c>
      <c r="H17" s="237"/>
      <c r="I17" s="14"/>
    </row>
    <row r="18" spans="2:14">
      <c r="B18" s="90" t="s">
        <v>176</v>
      </c>
      <c r="C18" s="235">
        <v>726880.92</v>
      </c>
      <c r="D18" s="236"/>
      <c r="E18" s="235">
        <v>585160.92000000004</v>
      </c>
      <c r="F18" s="236"/>
      <c r="G18" s="235">
        <v>141720</v>
      </c>
      <c r="H18" s="237"/>
      <c r="I18" s="14"/>
    </row>
    <row r="19" spans="2:14" ht="16.5" thickBot="1">
      <c r="B19" s="91" t="s">
        <v>208</v>
      </c>
      <c r="C19" s="269">
        <v>32400</v>
      </c>
      <c r="D19" s="270"/>
      <c r="E19" s="269">
        <v>32400</v>
      </c>
      <c r="F19" s="270"/>
      <c r="G19" s="269">
        <v>0</v>
      </c>
      <c r="H19" s="271"/>
      <c r="I19" s="14"/>
    </row>
    <row r="20" spans="2:14" ht="33" customHeight="1" thickBot="1">
      <c r="B20" s="92" t="s">
        <v>274</v>
      </c>
      <c r="C20" s="249">
        <f>E20+G20</f>
        <v>110491.60999999999</v>
      </c>
      <c r="D20" s="250"/>
      <c r="E20" s="251">
        <f>E17+E19-E18</f>
        <v>25265.510000000009</v>
      </c>
      <c r="F20" s="252"/>
      <c r="G20" s="251">
        <f>G17-G18</f>
        <v>85226.099999999977</v>
      </c>
      <c r="H20" s="253"/>
      <c r="I20" s="14"/>
    </row>
    <row r="21" spans="2:14">
      <c r="B21" s="11"/>
      <c r="C21" s="61"/>
      <c r="D21" s="87"/>
      <c r="E21" s="216"/>
      <c r="I21" s="14"/>
    </row>
    <row r="22" spans="2:14" ht="18.75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4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I23" s="15"/>
      <c r="J23" s="15"/>
      <c r="L23" s="14"/>
      <c r="M23" s="242"/>
      <c r="N23" s="242"/>
    </row>
    <row r="24" spans="2:14" ht="4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I24" s="15"/>
      <c r="J24" s="15"/>
      <c r="M24" s="204">
        <v>81139.19</v>
      </c>
      <c r="N24" s="204">
        <f>M24</f>
        <v>81139.19</v>
      </c>
    </row>
    <row r="25" spans="2:14" ht="62.25" customHeight="1">
      <c r="B25" s="18" t="s">
        <v>178</v>
      </c>
      <c r="C25" s="6" t="s">
        <v>205</v>
      </c>
      <c r="D25" s="19" t="s">
        <v>188</v>
      </c>
      <c r="E25" s="93">
        <v>3.42</v>
      </c>
      <c r="F25" s="20">
        <f t="shared" ref="F25:F30" si="0">$M$24/$M$25*E25</f>
        <v>14975.500798704801</v>
      </c>
      <c r="G25" s="21">
        <f>$N$24/$N$25*E25</f>
        <v>14975.500798704801</v>
      </c>
      <c r="H25" s="22">
        <f>F25-G25</f>
        <v>0</v>
      </c>
      <c r="I25" s="23"/>
      <c r="J25" s="23"/>
      <c r="K25" s="24"/>
      <c r="L25" s="25"/>
      <c r="M25" s="205">
        <f>E34-E32</f>
        <v>18.53</v>
      </c>
      <c r="N25" s="205">
        <f>E34-E32</f>
        <v>18.53</v>
      </c>
    </row>
    <row r="26" spans="2:14" ht="62.25" customHeight="1">
      <c r="B26" s="26" t="s">
        <v>189</v>
      </c>
      <c r="C26" s="6" t="s">
        <v>205</v>
      </c>
      <c r="D26" s="19" t="s">
        <v>188</v>
      </c>
      <c r="E26" s="94">
        <v>3.8</v>
      </c>
      <c r="F26" s="20">
        <f t="shared" si="0"/>
        <v>16639.445331894225</v>
      </c>
      <c r="G26" s="21">
        <f t="shared" ref="G26:G30" si="1">$N$24/$N$25*E26</f>
        <v>16639.445331894225</v>
      </c>
      <c r="H26" s="22">
        <f t="shared" ref="H26:H31" si="2">F26-G26</f>
        <v>0</v>
      </c>
      <c r="I26" s="23"/>
      <c r="J26" s="23"/>
      <c r="K26" s="2"/>
      <c r="L26" s="2"/>
      <c r="M26" s="186"/>
      <c r="N26" s="186"/>
    </row>
    <row r="27" spans="2:14" ht="63.75" customHeight="1">
      <c r="B27" s="27" t="s">
        <v>171</v>
      </c>
      <c r="C27" s="6" t="s">
        <v>205</v>
      </c>
      <c r="D27" s="19" t="s">
        <v>188</v>
      </c>
      <c r="E27" s="94">
        <v>0.32</v>
      </c>
      <c r="F27" s="20">
        <f t="shared" si="0"/>
        <v>1401.2164490016189</v>
      </c>
      <c r="G27" s="21">
        <f t="shared" si="1"/>
        <v>1401.2164490016189</v>
      </c>
      <c r="H27" s="22">
        <f t="shared" si="2"/>
        <v>0</v>
      </c>
      <c r="I27" s="23"/>
      <c r="J27" s="23"/>
      <c r="L27" s="14"/>
    </row>
    <row r="28" spans="2:14" ht="29.25" customHeight="1">
      <c r="B28" s="27" t="s">
        <v>172</v>
      </c>
      <c r="C28" s="28" t="s">
        <v>190</v>
      </c>
      <c r="D28" s="19" t="s">
        <v>188</v>
      </c>
      <c r="E28" s="94">
        <v>0</v>
      </c>
      <c r="F28" s="20">
        <f t="shared" ref="F28" si="3">$M$24/$M$25*E28</f>
        <v>0</v>
      </c>
      <c r="G28" s="21">
        <f t="shared" ref="G28" si="4">$N$24/$N$25*E28</f>
        <v>0</v>
      </c>
      <c r="H28" s="22">
        <f t="shared" si="2"/>
        <v>0</v>
      </c>
      <c r="I28" s="23"/>
      <c r="J28" s="23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1.89</v>
      </c>
      <c r="F29" s="20">
        <f t="shared" si="0"/>
        <v>8275.9346519158116</v>
      </c>
      <c r="G29" s="21">
        <f t="shared" si="1"/>
        <v>8275.9346519158116</v>
      </c>
      <c r="H29" s="22">
        <f t="shared" si="2"/>
        <v>0</v>
      </c>
      <c r="I29" s="23"/>
      <c r="J29" s="23"/>
    </row>
    <row r="30" spans="2:14" ht="215.25" customHeight="1">
      <c r="B30" s="26" t="s">
        <v>203</v>
      </c>
      <c r="C30" s="29" t="s">
        <v>191</v>
      </c>
      <c r="D30" s="19" t="s">
        <v>188</v>
      </c>
      <c r="E30" s="94">
        <v>7.17</v>
      </c>
      <c r="F30" s="20">
        <f t="shared" si="0"/>
        <v>31396.006060442523</v>
      </c>
      <c r="G30" s="21">
        <f t="shared" si="1"/>
        <v>31396.006060442523</v>
      </c>
      <c r="H30" s="22">
        <f t="shared" si="2"/>
        <v>0</v>
      </c>
      <c r="I30" s="23"/>
      <c r="J30" s="23"/>
      <c r="K30" s="2"/>
      <c r="L30" s="1"/>
      <c r="M30" s="186"/>
      <c r="N30" s="186"/>
    </row>
    <row r="31" spans="2:14" ht="112.5" customHeight="1">
      <c r="B31" s="26" t="s">
        <v>192</v>
      </c>
      <c r="C31" s="6" t="s">
        <v>205</v>
      </c>
      <c r="D31" s="19" t="s">
        <v>188</v>
      </c>
      <c r="E31" s="94">
        <v>0.3</v>
      </c>
      <c r="F31" s="20">
        <f>$M$24/$M$25*E31</f>
        <v>1313.6404209390178</v>
      </c>
      <c r="G31" s="21">
        <f t="shared" ref="G31" si="5">$N$24/$N$25*E31</f>
        <v>1313.6404209390178</v>
      </c>
      <c r="H31" s="22">
        <f t="shared" si="2"/>
        <v>0</v>
      </c>
      <c r="I31" s="23"/>
      <c r="J31" s="23"/>
    </row>
    <row r="32" spans="2:14" ht="66.75" customHeight="1">
      <c r="B32" s="27" t="s">
        <v>193</v>
      </c>
      <c r="C32" s="6" t="s">
        <v>205</v>
      </c>
      <c r="D32" s="19" t="s">
        <v>188</v>
      </c>
      <c r="E32" s="94">
        <v>4.8</v>
      </c>
      <c r="F32" s="20">
        <v>21018.25</v>
      </c>
      <c r="G32" s="4">
        <v>19398</v>
      </c>
      <c r="H32" s="22">
        <f>F32-G32</f>
        <v>1620.25</v>
      </c>
      <c r="I32" s="23"/>
      <c r="J32" s="23"/>
      <c r="L32" s="14"/>
    </row>
    <row r="33" spans="2:14" ht="16.5" thickBot="1">
      <c r="B33" s="64" t="s">
        <v>173</v>
      </c>
      <c r="C33" s="49" t="s">
        <v>191</v>
      </c>
      <c r="D33" s="50" t="s">
        <v>188</v>
      </c>
      <c r="E33" s="95">
        <v>1.63</v>
      </c>
      <c r="F33" s="20">
        <f>$M$24/$M$25*E33</f>
        <v>7137.4462871019959</v>
      </c>
      <c r="G33" s="21">
        <f t="shared" ref="G33" si="6">$N$24/$N$25*E33</f>
        <v>7137.4462871019959</v>
      </c>
      <c r="H33" s="30">
        <f>F33-G33</f>
        <v>0</v>
      </c>
      <c r="I33" s="23"/>
      <c r="J33" s="23"/>
    </row>
    <row r="34" spans="2:14" ht="16.5" thickBot="1">
      <c r="B34" s="63" t="s">
        <v>177</v>
      </c>
      <c r="C34" s="52"/>
      <c r="D34" s="52"/>
      <c r="E34" s="96">
        <f>SUM(E25:E33)</f>
        <v>23.330000000000002</v>
      </c>
      <c r="F34" s="53">
        <f>SUM(F25:F33)</f>
        <v>102157.43999999999</v>
      </c>
      <c r="G34" s="54">
        <f>SUM(G25:G33)</f>
        <v>100537.18999999999</v>
      </c>
      <c r="H34" s="35">
        <f>SUM(H25:H33)</f>
        <v>1620.25</v>
      </c>
      <c r="I34" s="36"/>
      <c r="J34" s="36"/>
    </row>
    <row r="35" spans="2:14">
      <c r="B35" s="14"/>
      <c r="C35" s="14"/>
      <c r="D35" s="14"/>
      <c r="E35" s="82"/>
      <c r="F35" s="82"/>
      <c r="G35" s="82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4.2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38"/>
      <c r="J37" s="38"/>
      <c r="K37" s="39"/>
      <c r="L37" s="40"/>
      <c r="M37" s="187"/>
      <c r="N37" s="187"/>
    </row>
    <row r="38" spans="2:14">
      <c r="B38" s="88" t="s">
        <v>14</v>
      </c>
      <c r="C38" s="238">
        <f>E38+G38</f>
        <v>917793.02999999991</v>
      </c>
      <c r="D38" s="239"/>
      <c r="E38" s="263">
        <f>F25+F26+F27+F28+F29+F30+F31+F33+E16</f>
        <v>666300.10999999987</v>
      </c>
      <c r="F38" s="264"/>
      <c r="G38" s="263">
        <f>F32+G16</f>
        <v>251492.92000000004</v>
      </c>
      <c r="H38" s="265"/>
      <c r="I38" s="222"/>
      <c r="J38" s="222"/>
      <c r="K38" s="7"/>
      <c r="L38" s="7"/>
      <c r="M38" s="188"/>
    </row>
    <row r="39" spans="2:14">
      <c r="B39" s="89" t="s">
        <v>15</v>
      </c>
      <c r="C39" s="235">
        <f>E39+G39</f>
        <v>898758.53</v>
      </c>
      <c r="D39" s="236"/>
      <c r="E39" s="235">
        <f>E17+74490.12</f>
        <v>652516.55000000005</v>
      </c>
      <c r="F39" s="236"/>
      <c r="G39" s="235">
        <f>G17+19295.88</f>
        <v>246241.97999999998</v>
      </c>
      <c r="H39" s="237"/>
      <c r="I39" s="222"/>
      <c r="J39" s="222"/>
      <c r="K39" s="9"/>
      <c r="L39" s="7"/>
      <c r="M39" s="188"/>
    </row>
    <row r="40" spans="2:14">
      <c r="B40" s="90" t="s">
        <v>176</v>
      </c>
      <c r="C40" s="235">
        <f>E40+G40</f>
        <v>827418.11</v>
      </c>
      <c r="D40" s="236"/>
      <c r="E40" s="260">
        <f>G25+G26+G27+G28+G29+G30+G31+G33+E18</f>
        <v>666300.11</v>
      </c>
      <c r="F40" s="261"/>
      <c r="G40" s="260">
        <f>G32+G18</f>
        <v>161118</v>
      </c>
      <c r="H40" s="262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222"/>
      <c r="J41" s="222"/>
      <c r="K41" s="41"/>
      <c r="L41" s="41"/>
    </row>
    <row r="42" spans="2:14" ht="29.25" customHeight="1" thickBot="1">
      <c r="B42" s="92" t="s">
        <v>275</v>
      </c>
      <c r="C42" s="249">
        <f>E42+G42</f>
        <v>107340.42000000004</v>
      </c>
      <c r="D42" s="250"/>
      <c r="E42" s="251">
        <f>E39+E41-E40</f>
        <v>22216.440000000061</v>
      </c>
      <c r="F42" s="252"/>
      <c r="G42" s="251">
        <f>G39-G40</f>
        <v>85123.979999999981</v>
      </c>
      <c r="H42" s="253"/>
      <c r="I42" s="222"/>
      <c r="J42" s="222"/>
      <c r="K42" s="41"/>
      <c r="L42" s="41"/>
    </row>
    <row r="43" spans="2:14" ht="34.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8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3"/>
    </row>
    <row r="50" spans="2:8" ht="9" customHeight="1">
      <c r="E50" s="220"/>
    </row>
    <row r="51" spans="2:8">
      <c r="C51" s="60"/>
    </row>
    <row r="52" spans="2:8">
      <c r="C52" s="60"/>
    </row>
  </sheetData>
  <mergeCells count="59">
    <mergeCell ref="C40:D40"/>
    <mergeCell ref="C41:D41"/>
    <mergeCell ref="C42:D42"/>
    <mergeCell ref="N22:N23"/>
    <mergeCell ref="M22:M23"/>
    <mergeCell ref="C37:D37"/>
    <mergeCell ref="C38:D38"/>
    <mergeCell ref="C39:D39"/>
    <mergeCell ref="E37:F37"/>
    <mergeCell ref="G37:H37"/>
    <mergeCell ref="E38:F38"/>
    <mergeCell ref="G38:H38"/>
    <mergeCell ref="B36:H36"/>
    <mergeCell ref="E39:F39"/>
    <mergeCell ref="G39:H39"/>
    <mergeCell ref="E40:F40"/>
    <mergeCell ref="C15:D15"/>
    <mergeCell ref="C16:D16"/>
    <mergeCell ref="C17:D17"/>
    <mergeCell ref="C18:D18"/>
    <mergeCell ref="C19:D19"/>
    <mergeCell ref="G17:H17"/>
    <mergeCell ref="E20:F20"/>
    <mergeCell ref="G20:H20"/>
    <mergeCell ref="E18:F18"/>
    <mergeCell ref="G18:H18"/>
    <mergeCell ref="E19:F19"/>
    <mergeCell ref="G19:H19"/>
    <mergeCell ref="G40:H40"/>
    <mergeCell ref="E42:F42"/>
    <mergeCell ref="G42:H42"/>
    <mergeCell ref="E41:F41"/>
    <mergeCell ref="G41:H41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B14:H14"/>
    <mergeCell ref="E15:F15"/>
    <mergeCell ref="G15:H15"/>
    <mergeCell ref="C20:D20"/>
    <mergeCell ref="E16:F16"/>
    <mergeCell ref="G16:H16"/>
    <mergeCell ref="E17:F17"/>
    <mergeCell ref="C45:E45"/>
    <mergeCell ref="C47:E47"/>
    <mergeCell ref="C49:E49"/>
    <mergeCell ref="F43:G43"/>
    <mergeCell ref="F49:G49"/>
    <mergeCell ref="F45:G45"/>
    <mergeCell ref="F46:G46"/>
    <mergeCell ref="F47:G47"/>
    <mergeCell ref="F44:G44"/>
    <mergeCell ref="C43:E43"/>
  </mergeCells>
  <printOptions horizontalCentered="1"/>
  <pageMargins left="0.19685039370078741" right="0.19685039370078741" top="0.15748031496062992" bottom="0.23622047244094491" header="0.6692913385826772" footer="0.23622047244094491"/>
  <pageSetup paperSize="9" scale="4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0"/>
  <sheetViews>
    <sheetView topLeftCell="A31" zoomScale="110" zoomScaleNormal="110" workbookViewId="0">
      <selection activeCell="B1" sqref="B1:H47"/>
    </sheetView>
  </sheetViews>
  <sheetFormatPr defaultColWidth="9.140625" defaultRowHeight="18" customHeight="1" outlineLevelRow="1"/>
  <cols>
    <col min="1" max="1" width="2.85546875" style="3" customWidth="1"/>
    <col min="2" max="2" width="57.7109375" style="3" customWidth="1"/>
    <col min="3" max="3" width="21.7109375" style="60" customWidth="1"/>
    <col min="4" max="4" width="9.140625" style="78" customWidth="1"/>
    <col min="5" max="5" width="10.42578125" style="78" customWidth="1"/>
    <col min="6" max="6" width="9.7109375" style="78" customWidth="1"/>
    <col min="7" max="7" width="10.28515625" style="3" customWidth="1"/>
    <col min="8" max="8" width="10.42578125" style="78" customWidth="1"/>
    <col min="9" max="9" width="10.140625" style="3" customWidth="1"/>
    <col min="10" max="10" width="9.5703125" style="3" bestFit="1" customWidth="1"/>
    <col min="11" max="11" width="13.85546875" style="3" customWidth="1"/>
    <col min="12" max="12" width="13" style="3" customWidth="1"/>
    <col min="13" max="13" width="13.85546875" style="185" customWidth="1"/>
    <col min="14" max="14" width="12.85546875" style="185" customWidth="1"/>
    <col min="15" max="16384" width="9.140625" style="3"/>
  </cols>
  <sheetData>
    <row r="1" spans="2:9" ht="18" customHeight="1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19.5" customHeight="1">
      <c r="B3" s="231"/>
      <c r="C3" s="231"/>
      <c r="D3" s="231"/>
      <c r="E3" s="231"/>
      <c r="F3" s="231"/>
      <c r="G3" s="231"/>
      <c r="H3" s="231"/>
      <c r="I3" s="56"/>
    </row>
    <row r="4" spans="2:9" ht="10.5" customHeight="1"/>
    <row r="5" spans="2:9" ht="14.25" customHeight="1">
      <c r="B5" s="8" t="s">
        <v>0</v>
      </c>
      <c r="C5" s="116"/>
      <c r="D5" s="233" t="s">
        <v>48</v>
      </c>
      <c r="E5" s="233"/>
      <c r="F5" s="45"/>
    </row>
    <row r="6" spans="2:9" ht="15" customHeight="1">
      <c r="B6" s="8" t="s">
        <v>1</v>
      </c>
      <c r="C6" s="116"/>
      <c r="D6" s="217">
        <v>1961</v>
      </c>
      <c r="E6" s="217"/>
      <c r="F6" s="45"/>
    </row>
    <row r="7" spans="2:9" ht="18" hidden="1" customHeight="1" outlineLevel="1">
      <c r="B7" s="8" t="s">
        <v>2</v>
      </c>
      <c r="C7" s="116"/>
      <c r="D7" s="217">
        <v>2</v>
      </c>
      <c r="E7" s="217"/>
      <c r="F7" s="45"/>
    </row>
    <row r="8" spans="2:9" ht="18" hidden="1" customHeight="1" outlineLevel="1">
      <c r="B8" s="8" t="s">
        <v>3</v>
      </c>
      <c r="C8" s="116"/>
      <c r="D8" s="217">
        <v>15</v>
      </c>
      <c r="E8" s="217"/>
      <c r="F8" s="45"/>
    </row>
    <row r="9" spans="2:9" ht="30" hidden="1" customHeight="1" outlineLevel="1">
      <c r="B9" s="111" t="s">
        <v>4</v>
      </c>
      <c r="C9" s="117"/>
      <c r="D9" s="217" t="s">
        <v>49</v>
      </c>
      <c r="E9" s="217"/>
      <c r="F9" s="45"/>
    </row>
    <row r="10" spans="2:9" ht="15" customHeight="1" collapsed="1">
      <c r="B10" s="8" t="s">
        <v>5</v>
      </c>
      <c r="C10" s="116"/>
      <c r="D10" s="217" t="s">
        <v>222</v>
      </c>
      <c r="E10" s="217"/>
      <c r="F10" s="45"/>
      <c r="I10" s="14"/>
    </row>
    <row r="11" spans="2:9" ht="18" hidden="1" customHeight="1" outlineLevel="1">
      <c r="B11" s="3" t="s">
        <v>6</v>
      </c>
      <c r="D11" s="216" t="s">
        <v>12</v>
      </c>
      <c r="E11" s="216"/>
    </row>
    <row r="12" spans="2:9" ht="33.75" hidden="1" customHeight="1" outlineLevel="1">
      <c r="B12" s="11" t="s">
        <v>7</v>
      </c>
      <c r="C12" s="61"/>
      <c r="D12" s="87" t="s">
        <v>50</v>
      </c>
      <c r="E12" s="216"/>
      <c r="I12" s="14"/>
    </row>
    <row r="13" spans="2:9" ht="9" customHeight="1" collapsed="1">
      <c r="B13" s="11"/>
      <c r="C13" s="61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2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 ht="15.75">
      <c r="B16" s="88" t="s">
        <v>14</v>
      </c>
      <c r="C16" s="238">
        <v>1383089.4241266861</v>
      </c>
      <c r="D16" s="273"/>
      <c r="E16" s="263">
        <v>991879.20412668609</v>
      </c>
      <c r="F16" s="264"/>
      <c r="G16" s="263">
        <v>391210.22000000009</v>
      </c>
      <c r="H16" s="265"/>
      <c r="I16" s="14"/>
    </row>
    <row r="17" spans="2:14" ht="15.75">
      <c r="B17" s="89" t="s">
        <v>15</v>
      </c>
      <c r="C17" s="235">
        <v>1368823.2600000002</v>
      </c>
      <c r="D17" s="236"/>
      <c r="E17" s="235">
        <v>991434.14000000025</v>
      </c>
      <c r="F17" s="236"/>
      <c r="G17" s="235">
        <v>377389.12000000005</v>
      </c>
      <c r="H17" s="237"/>
      <c r="I17" s="14"/>
    </row>
    <row r="18" spans="2:14" ht="16.5" thickBot="1">
      <c r="B18" s="90" t="s">
        <v>176</v>
      </c>
      <c r="C18" s="235">
        <v>1335386.2</v>
      </c>
      <c r="D18" s="236"/>
      <c r="E18" s="260">
        <v>991879.2</v>
      </c>
      <c r="F18" s="261"/>
      <c r="G18" s="260">
        <v>343507</v>
      </c>
      <c r="H18" s="262"/>
      <c r="I18" s="14"/>
    </row>
    <row r="19" spans="2:14" ht="30.75" customHeight="1" thickBot="1">
      <c r="B19" s="92" t="s">
        <v>274</v>
      </c>
      <c r="C19" s="249">
        <f>E19+G19</f>
        <v>33437.060000000347</v>
      </c>
      <c r="D19" s="250"/>
      <c r="E19" s="251">
        <f>E17-E18</f>
        <v>-445.05999999970663</v>
      </c>
      <c r="F19" s="252"/>
      <c r="G19" s="251">
        <f>G17-G18</f>
        <v>33882.120000000054</v>
      </c>
      <c r="H19" s="253"/>
      <c r="I19" s="14"/>
    </row>
    <row r="20" spans="2:14" ht="15.75">
      <c r="B20" s="11"/>
      <c r="C20" s="61"/>
      <c r="D20" s="87"/>
      <c r="E20" s="216"/>
      <c r="I20" s="14"/>
    </row>
    <row r="21" spans="2:14" ht="19.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35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139646.26999999999</v>
      </c>
      <c r="N23" s="204">
        <f>M23</f>
        <v>139646.26999999999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25871.627486457193</v>
      </c>
      <c r="G24" s="21">
        <f>$N$23/$N$24*E24</f>
        <v>25871.627486457193</v>
      </c>
      <c r="H24" s="22">
        <f>F24-G24</f>
        <v>0</v>
      </c>
      <c r="I24" s="23"/>
      <c r="J24" s="23"/>
      <c r="K24" s="24"/>
      <c r="L24" s="25"/>
      <c r="M24" s="205">
        <f>E33-E31</f>
        <v>18.460000000000004</v>
      </c>
      <c r="N24" s="205">
        <f>E33-E31</f>
        <v>18.460000000000004</v>
      </c>
    </row>
    <row r="25" spans="2:14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28746.252762730215</v>
      </c>
      <c r="G25" s="21">
        <f>$N$23/$N$24*E25</f>
        <v>28746.252762730215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5.5" customHeight="1">
      <c r="B26" s="27" t="s">
        <v>171</v>
      </c>
      <c r="C26" s="6" t="s">
        <v>205</v>
      </c>
      <c r="D26" s="19" t="s">
        <v>188</v>
      </c>
      <c r="E26" s="94">
        <v>0.32</v>
      </c>
      <c r="F26" s="20">
        <f t="shared" ref="F26:F32" si="1">$M$23/$M$24*E26</f>
        <v>2420.737074756229</v>
      </c>
      <c r="G26" s="21">
        <f t="shared" ref="G26:G29" si="2">$N$23/$N$24*E26</f>
        <v>2420.737074756229</v>
      </c>
      <c r="H26" s="22">
        <f t="shared" si="0"/>
        <v>0</v>
      </c>
      <c r="I26" s="23"/>
      <c r="J26" s="23"/>
      <c r="L26" s="14"/>
    </row>
    <row r="27" spans="2:14" ht="29.25" customHeight="1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ref="F27" si="3">$M$23/$M$24*E27</f>
        <v>4841.4741495124581</v>
      </c>
      <c r="G27" s="21">
        <f t="shared" ref="G27" si="4">$N$23/$N$24*E27</f>
        <v>4841.4741495124581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1.89</v>
      </c>
      <c r="F28" s="20">
        <f t="shared" si="1"/>
        <v>14297.478347778975</v>
      </c>
      <c r="G28" s="21">
        <f t="shared" si="2"/>
        <v>14297.478347778975</v>
      </c>
      <c r="H28" s="22">
        <f t="shared" si="0"/>
        <v>0</v>
      </c>
      <c r="I28" s="23"/>
      <c r="J28" s="23"/>
    </row>
    <row r="29" spans="2:14" ht="147" customHeight="1">
      <c r="B29" s="26" t="s">
        <v>203</v>
      </c>
      <c r="C29" s="29" t="s">
        <v>191</v>
      </c>
      <c r="D29" s="19" t="s">
        <v>188</v>
      </c>
      <c r="E29" s="94">
        <v>7.17</v>
      </c>
      <c r="F29" s="20">
        <f t="shared" si="1"/>
        <v>54239.640081256752</v>
      </c>
      <c r="G29" s="21">
        <f t="shared" si="2"/>
        <v>54239.640081256752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12.5" customHeight="1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1"/>
        <v>2269.4410075839646</v>
      </c>
      <c r="G30" s="21">
        <f t="shared" ref="G30" si="5">$N$23/$N$24*E30</f>
        <v>2269.4410075839646</v>
      </c>
      <c r="H30" s="22">
        <f t="shared" si="0"/>
        <v>0</v>
      </c>
      <c r="I30" s="23"/>
      <c r="J30" s="23"/>
    </row>
    <row r="31" spans="2:14" ht="56.25" customHeight="1">
      <c r="B31" s="27" t="s">
        <v>193</v>
      </c>
      <c r="C31" s="6" t="s">
        <v>205</v>
      </c>
      <c r="D31" s="19" t="s">
        <v>188</v>
      </c>
      <c r="E31" s="94">
        <v>4.8</v>
      </c>
      <c r="F31" s="20">
        <v>36311.050000000003</v>
      </c>
      <c r="G31" s="4">
        <v>0</v>
      </c>
      <c r="H31" s="22">
        <f>F31-G31</f>
        <v>36311.050000000003</v>
      </c>
      <c r="I31" s="23"/>
      <c r="J31" s="23"/>
      <c r="L31" s="14"/>
    </row>
    <row r="32" spans="2:14" ht="16.5" thickBot="1">
      <c r="B32" s="64" t="s">
        <v>173</v>
      </c>
      <c r="C32" s="49" t="s">
        <v>191</v>
      </c>
      <c r="D32" s="50" t="s">
        <v>188</v>
      </c>
      <c r="E32" s="95">
        <v>0.92</v>
      </c>
      <c r="F32" s="20">
        <f t="shared" si="1"/>
        <v>6959.6190899241583</v>
      </c>
      <c r="G32" s="21">
        <f t="shared" ref="G32" si="6">$N$23/$N$24*E32</f>
        <v>6959.6190899241583</v>
      </c>
      <c r="H32" s="30">
        <f>F32-G32</f>
        <v>0</v>
      </c>
      <c r="I32" s="23"/>
      <c r="J32" s="23"/>
    </row>
    <row r="33" spans="2:14" ht="16.5" thickBot="1">
      <c r="B33" s="63" t="s">
        <v>177</v>
      </c>
      <c r="C33" s="52"/>
      <c r="D33" s="52"/>
      <c r="E33" s="96">
        <f>SUM(E24:E32)</f>
        <v>23.260000000000005</v>
      </c>
      <c r="F33" s="53">
        <f>SUM(F24:F32)</f>
        <v>175957.31999999995</v>
      </c>
      <c r="G33" s="54">
        <f>SUM(G24:G32)</f>
        <v>139646.26999999993</v>
      </c>
      <c r="H33" s="35">
        <f>SUM(H24:H32)</f>
        <v>36311.050000000003</v>
      </c>
      <c r="I33" s="36"/>
      <c r="J33" s="36"/>
    </row>
    <row r="34" spans="2:14" ht="15.75">
      <c r="B34" s="14"/>
      <c r="C34" s="14"/>
      <c r="D34" s="14"/>
      <c r="E34" s="82"/>
      <c r="F34" s="82"/>
      <c r="G34" s="82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 ht="15.75">
      <c r="B37" s="88" t="s">
        <v>14</v>
      </c>
      <c r="C37" s="238">
        <f>E37+G37</f>
        <v>1559046.7441266861</v>
      </c>
      <c r="D37" s="239"/>
      <c r="E37" s="263">
        <f>F24+F25+F26+F27+F28+F29+F30+F32+E16</f>
        <v>1131525.4741266861</v>
      </c>
      <c r="F37" s="264"/>
      <c r="G37" s="263">
        <f>F31+G16</f>
        <v>427521.27000000008</v>
      </c>
      <c r="H37" s="265"/>
      <c r="I37" s="222"/>
      <c r="J37" s="222"/>
      <c r="K37" s="7"/>
      <c r="L37" s="7"/>
      <c r="M37" s="188"/>
    </row>
    <row r="38" spans="2:14" ht="15.75">
      <c r="B38" s="89" t="s">
        <v>15</v>
      </c>
      <c r="C38" s="235">
        <f>E38+G38</f>
        <v>1518584.9700000004</v>
      </c>
      <c r="D38" s="236"/>
      <c r="E38" s="235">
        <f>E17+118856.46</f>
        <v>1110290.6000000003</v>
      </c>
      <c r="F38" s="236"/>
      <c r="G38" s="235">
        <f>G17+30905.25</f>
        <v>408294.37000000005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1475032.47</v>
      </c>
      <c r="D39" s="270"/>
      <c r="E39" s="260">
        <f>G24+G25+G26+G27+G28+G29+G30+G32+E18</f>
        <v>1131525.47</v>
      </c>
      <c r="F39" s="261"/>
      <c r="G39" s="260">
        <f>G31+G18</f>
        <v>343507</v>
      </c>
      <c r="H39" s="262"/>
      <c r="I39" s="222"/>
      <c r="J39" s="222"/>
      <c r="K39" s="41"/>
      <c r="L39" s="41"/>
    </row>
    <row r="40" spans="2:14" ht="25.5" thickBot="1">
      <c r="B40" s="92" t="s">
        <v>275</v>
      </c>
      <c r="C40" s="249">
        <f>E40+G40</f>
        <v>43552.500000000407</v>
      </c>
      <c r="D40" s="250"/>
      <c r="E40" s="251">
        <f>E38-E39</f>
        <v>-21234.869999999646</v>
      </c>
      <c r="F40" s="252"/>
      <c r="G40" s="251">
        <f>G38-G39</f>
        <v>64787.370000000054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 ht="15.7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 ht="15.7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 ht="15.7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3"/>
    </row>
    <row r="48" spans="2:14" ht="9.75" customHeight="1">
      <c r="C48" s="82"/>
      <c r="E48" s="220"/>
    </row>
    <row r="49" ht="15.75"/>
    <row r="50" ht="15.75"/>
  </sheetData>
  <mergeCells count="54">
    <mergeCell ref="M21:M22"/>
    <mergeCell ref="N21:N22"/>
    <mergeCell ref="C36:D36"/>
    <mergeCell ref="C37:D37"/>
    <mergeCell ref="C38:D38"/>
    <mergeCell ref="G36:H36"/>
    <mergeCell ref="E37:F37"/>
    <mergeCell ref="G37:H37"/>
    <mergeCell ref="E38:F38"/>
    <mergeCell ref="G38:H38"/>
    <mergeCell ref="B35:H35"/>
    <mergeCell ref="E36:F36"/>
    <mergeCell ref="C15:D15"/>
    <mergeCell ref="C16:D16"/>
    <mergeCell ref="C17:D17"/>
    <mergeCell ref="C18:D18"/>
    <mergeCell ref="C19:D19"/>
    <mergeCell ref="G19:H19"/>
    <mergeCell ref="E16:F16"/>
    <mergeCell ref="G16:H16"/>
    <mergeCell ref="E17:F17"/>
    <mergeCell ref="G17:H17"/>
    <mergeCell ref="E39:F39"/>
    <mergeCell ref="G39:H39"/>
    <mergeCell ref="C39:D39"/>
    <mergeCell ref="E40:F40"/>
    <mergeCell ref="G40:H40"/>
    <mergeCell ref="C40:D40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8:F18"/>
    <mergeCell ref="G18:H18"/>
    <mergeCell ref="E19:F19"/>
    <mergeCell ref="C41:E41"/>
    <mergeCell ref="C43:E43"/>
    <mergeCell ref="C45:E45"/>
    <mergeCell ref="C47:E47"/>
    <mergeCell ref="F42:G42"/>
    <mergeCell ref="F43:G43"/>
    <mergeCell ref="F45:G45"/>
    <mergeCell ref="F47:G47"/>
    <mergeCell ref="F44:G44"/>
    <mergeCell ref="F41:G41"/>
  </mergeCells>
  <printOptions horizontalCentered="1"/>
  <pageMargins left="0.2" right="0.19685039370078741" top="0.15748031496062992" bottom="0.23622047244094491" header="0.2" footer="0.23622047244094491"/>
  <pageSetup paperSize="9" scale="4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2"/>
  <sheetViews>
    <sheetView topLeftCell="A32" zoomScale="110" zoomScaleNormal="110" workbookViewId="0">
      <selection activeCell="B1" sqref="B1:H49"/>
    </sheetView>
  </sheetViews>
  <sheetFormatPr defaultColWidth="9.140625" defaultRowHeight="18" customHeight="1" outlineLevelRow="1"/>
  <cols>
    <col min="1" max="1" width="2.85546875" style="3" customWidth="1"/>
    <col min="2" max="2" width="57.28515625" style="3" customWidth="1"/>
    <col min="3" max="3" width="22.85546875" style="82" customWidth="1"/>
    <col min="4" max="4" width="9.140625" style="78" customWidth="1"/>
    <col min="5" max="5" width="9.42578125" style="78" customWidth="1"/>
    <col min="6" max="6" width="10.28515625" style="78" customWidth="1"/>
    <col min="7" max="7" width="10.28515625" style="3" customWidth="1"/>
    <col min="8" max="8" width="11" style="78" customWidth="1"/>
    <col min="9" max="9" width="13.7109375" style="3" customWidth="1"/>
    <col min="10" max="10" width="11.28515625" style="3" customWidth="1"/>
    <col min="11" max="11" width="13.85546875" style="3" customWidth="1"/>
    <col min="12" max="12" width="9.140625" style="3"/>
    <col min="13" max="13" width="15.140625" style="185" customWidth="1"/>
    <col min="14" max="14" width="13.85546875" style="185" customWidth="1"/>
    <col min="15" max="15" width="12" style="3" customWidth="1"/>
    <col min="16" max="16384" width="9.140625" style="3"/>
  </cols>
  <sheetData>
    <row r="1" spans="2:9" ht="18" customHeight="1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1.75" customHeight="1">
      <c r="B3" s="231"/>
      <c r="C3" s="231"/>
      <c r="D3" s="231"/>
      <c r="E3" s="231"/>
      <c r="F3" s="231"/>
      <c r="G3" s="231"/>
      <c r="H3" s="231"/>
      <c r="I3" s="56"/>
    </row>
    <row r="4" spans="2:9" ht="15" customHeight="1"/>
    <row r="5" spans="2:9" ht="15.75">
      <c r="B5" s="3" t="s">
        <v>0</v>
      </c>
      <c r="D5" s="232" t="s">
        <v>51</v>
      </c>
      <c r="E5" s="232"/>
    </row>
    <row r="6" spans="2:9" ht="15.75">
      <c r="B6" s="3" t="s">
        <v>1</v>
      </c>
      <c r="D6" s="216">
        <v>1961</v>
      </c>
      <c r="E6" s="216"/>
    </row>
    <row r="7" spans="2:9" ht="15.75" hidden="1" outlineLevel="1">
      <c r="B7" s="3" t="s">
        <v>2</v>
      </c>
      <c r="D7" s="216">
        <v>2</v>
      </c>
      <c r="E7" s="216"/>
    </row>
    <row r="8" spans="2:9" ht="15.75" hidden="1" outlineLevel="1">
      <c r="B8" s="3" t="s">
        <v>3</v>
      </c>
      <c r="D8" s="216">
        <v>16</v>
      </c>
      <c r="E8" s="216"/>
    </row>
    <row r="9" spans="2:9" ht="31.5" hidden="1" outlineLevel="1">
      <c r="B9" s="11" t="s">
        <v>4</v>
      </c>
      <c r="C9" s="55"/>
      <c r="D9" s="216" t="s">
        <v>52</v>
      </c>
      <c r="E9" s="216"/>
    </row>
    <row r="10" spans="2:9" ht="15.75" collapsed="1">
      <c r="B10" s="3" t="s">
        <v>5</v>
      </c>
      <c r="D10" s="216" t="s">
        <v>223</v>
      </c>
      <c r="E10" s="216"/>
      <c r="I10" s="14"/>
    </row>
    <row r="11" spans="2:9" ht="15.75" hidden="1" outlineLevel="1">
      <c r="B11" s="3" t="s">
        <v>6</v>
      </c>
      <c r="D11" s="216" t="s">
        <v>12</v>
      </c>
      <c r="E11" s="216"/>
    </row>
    <row r="12" spans="2:9" ht="31.5" hidden="1" customHeight="1" outlineLevel="1">
      <c r="B12" s="11" t="s">
        <v>7</v>
      </c>
      <c r="C12" s="55"/>
      <c r="D12" s="87" t="s">
        <v>53</v>
      </c>
      <c r="E12" s="216"/>
      <c r="I12" s="14"/>
    </row>
    <row r="13" spans="2:9" ht="12" customHeight="1" collapsed="1">
      <c r="B13" s="11"/>
      <c r="C13" s="55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8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 ht="15.75">
      <c r="B16" s="88" t="s">
        <v>14</v>
      </c>
      <c r="C16" s="238">
        <v>1312872.9205912268</v>
      </c>
      <c r="D16" s="239"/>
      <c r="E16" s="238">
        <v>910897.78059122688</v>
      </c>
      <c r="F16" s="239"/>
      <c r="G16" s="238">
        <v>401975.14</v>
      </c>
      <c r="H16" s="240"/>
      <c r="I16" s="14"/>
    </row>
    <row r="17" spans="2:14" ht="15.75">
      <c r="B17" s="89" t="s">
        <v>15</v>
      </c>
      <c r="C17" s="235">
        <v>1319603.92</v>
      </c>
      <c r="D17" s="236"/>
      <c r="E17" s="235">
        <v>919737.08999999985</v>
      </c>
      <c r="F17" s="236"/>
      <c r="G17" s="235">
        <v>399866.82999999996</v>
      </c>
      <c r="H17" s="237"/>
      <c r="I17" s="14"/>
    </row>
    <row r="18" spans="2:14" ht="15.75">
      <c r="B18" s="90" t="s">
        <v>176</v>
      </c>
      <c r="C18" s="235">
        <v>1202250.78</v>
      </c>
      <c r="D18" s="236"/>
      <c r="E18" s="235">
        <v>910897.78</v>
      </c>
      <c r="F18" s="236"/>
      <c r="G18" s="235">
        <v>291353</v>
      </c>
      <c r="H18" s="237"/>
      <c r="I18" s="14"/>
    </row>
    <row r="19" spans="2:14" ht="16.5" thickBot="1">
      <c r="B19" s="91" t="s">
        <v>208</v>
      </c>
      <c r="C19" s="269">
        <v>32400</v>
      </c>
      <c r="D19" s="270"/>
      <c r="E19" s="269">
        <v>32400</v>
      </c>
      <c r="F19" s="270"/>
      <c r="G19" s="269">
        <v>0</v>
      </c>
      <c r="H19" s="271"/>
      <c r="I19" s="14"/>
    </row>
    <row r="20" spans="2:14" ht="28.5" customHeight="1" thickBot="1">
      <c r="B20" s="92" t="s">
        <v>274</v>
      </c>
      <c r="C20" s="249">
        <f>E20+G20</f>
        <v>149753.13999999978</v>
      </c>
      <c r="D20" s="250"/>
      <c r="E20" s="251">
        <f>E17+E19-E18</f>
        <v>41239.309999999823</v>
      </c>
      <c r="F20" s="252"/>
      <c r="G20" s="251">
        <f>G17-G18</f>
        <v>108513.82999999996</v>
      </c>
      <c r="H20" s="253"/>
      <c r="I20" s="14"/>
    </row>
    <row r="21" spans="2:14" ht="11.25" customHeight="1">
      <c r="B21" s="11"/>
      <c r="C21" s="61"/>
      <c r="D21" s="87"/>
      <c r="E21" s="216"/>
      <c r="I21" s="14"/>
    </row>
    <row r="22" spans="2:14" ht="32.25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4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I23" s="15"/>
      <c r="J23" s="15"/>
      <c r="L23" s="14"/>
      <c r="M23" s="242"/>
      <c r="N23" s="242"/>
    </row>
    <row r="24" spans="2:14" ht="4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I24" s="15"/>
      <c r="J24" s="15"/>
      <c r="M24" s="204">
        <v>120566.34</v>
      </c>
      <c r="N24" s="204">
        <f>M24</f>
        <v>120566.34</v>
      </c>
    </row>
    <row r="25" spans="2:14" ht="50.25" customHeight="1">
      <c r="B25" s="18" t="s">
        <v>178</v>
      </c>
      <c r="C25" s="6" t="s">
        <v>205</v>
      </c>
      <c r="D25" s="19" t="s">
        <v>188</v>
      </c>
      <c r="E25" s="93">
        <v>3.12</v>
      </c>
      <c r="F25" s="20">
        <f>$M$24/$M$25*E25</f>
        <v>23823.114680177328</v>
      </c>
      <c r="G25" s="21">
        <f>$N$24/$N$25*E25</f>
        <v>23823.114680177328</v>
      </c>
      <c r="H25" s="22">
        <f>F25-G25</f>
        <v>0</v>
      </c>
      <c r="I25" s="23"/>
      <c r="J25" s="23"/>
      <c r="K25" s="24"/>
      <c r="L25" s="25"/>
      <c r="M25" s="205">
        <f>E34-E32</f>
        <v>15.79</v>
      </c>
      <c r="N25" s="205">
        <f>E34-E32</f>
        <v>15.79</v>
      </c>
    </row>
    <row r="26" spans="2:14" ht="51">
      <c r="B26" s="26" t="s">
        <v>189</v>
      </c>
      <c r="C26" s="6" t="s">
        <v>205</v>
      </c>
      <c r="D26" s="19" t="s">
        <v>188</v>
      </c>
      <c r="E26" s="94">
        <v>3.47</v>
      </c>
      <c r="F26" s="20">
        <f>$M$24/$M$25*E26</f>
        <v>26495.579468017735</v>
      </c>
      <c r="G26" s="21">
        <f>$N$24/$N$25*E26</f>
        <v>26495.579468017735</v>
      </c>
      <c r="H26" s="22">
        <f t="shared" ref="H26:H31" si="0">F26-G26</f>
        <v>0</v>
      </c>
      <c r="I26" s="23"/>
      <c r="J26" s="23"/>
      <c r="K26" s="2"/>
      <c r="L26" s="2"/>
      <c r="M26" s="186"/>
      <c r="N26" s="186"/>
    </row>
    <row r="27" spans="2:14" ht="55.5" customHeight="1">
      <c r="B27" s="27" t="s">
        <v>171</v>
      </c>
      <c r="C27" s="6" t="s">
        <v>205</v>
      </c>
      <c r="D27" s="19" t="s">
        <v>188</v>
      </c>
      <c r="E27" s="94">
        <v>0.32</v>
      </c>
      <c r="F27" s="20">
        <f t="shared" ref="F27:F33" si="1">$M$24/$M$25*E27</f>
        <v>2443.3963774540848</v>
      </c>
      <c r="G27" s="21">
        <f t="shared" ref="G27:G30" si="2">$N$24/$N$25*E27</f>
        <v>2443.3963774540848</v>
      </c>
      <c r="H27" s="22">
        <f t="shared" si="0"/>
        <v>0</v>
      </c>
      <c r="I27" s="23"/>
      <c r="J27" s="23"/>
      <c r="L27" s="14"/>
    </row>
    <row r="28" spans="2:14" ht="29.25" customHeight="1">
      <c r="B28" s="27" t="s">
        <v>172</v>
      </c>
      <c r="C28" s="28" t="s">
        <v>190</v>
      </c>
      <c r="D28" s="19" t="s">
        <v>188</v>
      </c>
      <c r="E28" s="94">
        <v>0.57999999999999996</v>
      </c>
      <c r="F28" s="20">
        <f t="shared" ref="F28" si="3">$M$24/$M$25*E28</f>
        <v>4428.6559341355287</v>
      </c>
      <c r="G28" s="21">
        <f t="shared" ref="G28" si="4">$N$24/$N$25*E28</f>
        <v>4428.6559341355287</v>
      </c>
      <c r="H28" s="22">
        <f t="shared" si="0"/>
        <v>0</v>
      </c>
      <c r="I28" s="23"/>
      <c r="J28" s="23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1.52</v>
      </c>
      <c r="F29" s="20">
        <f t="shared" si="1"/>
        <v>11606.132792906903</v>
      </c>
      <c r="G29" s="21">
        <f t="shared" si="2"/>
        <v>11606.132792906903</v>
      </c>
      <c r="H29" s="22">
        <f t="shared" si="0"/>
        <v>0</v>
      </c>
      <c r="I29" s="23"/>
      <c r="J29" s="23"/>
    </row>
    <row r="30" spans="2:14" ht="154.5" customHeight="1">
      <c r="B30" s="26" t="s">
        <v>203</v>
      </c>
      <c r="C30" s="29" t="s">
        <v>191</v>
      </c>
      <c r="D30" s="19" t="s">
        <v>188</v>
      </c>
      <c r="E30" s="94">
        <v>5.53</v>
      </c>
      <c r="F30" s="20">
        <f t="shared" si="1"/>
        <v>42224.943647878405</v>
      </c>
      <c r="G30" s="21">
        <f t="shared" si="2"/>
        <v>42224.943647878405</v>
      </c>
      <c r="H30" s="22">
        <f t="shared" si="0"/>
        <v>0</v>
      </c>
      <c r="I30" s="23"/>
      <c r="J30" s="23"/>
      <c r="K30" s="2"/>
      <c r="L30" s="1"/>
      <c r="M30" s="186"/>
      <c r="N30" s="186"/>
    </row>
    <row r="31" spans="2:14" ht="106.5" customHeight="1">
      <c r="B31" s="26" t="s">
        <v>192</v>
      </c>
      <c r="C31" s="6" t="s">
        <v>205</v>
      </c>
      <c r="D31" s="19" t="s">
        <v>188</v>
      </c>
      <c r="E31" s="94">
        <v>0.3</v>
      </c>
      <c r="F31" s="20">
        <f t="shared" si="1"/>
        <v>2290.6841038632047</v>
      </c>
      <c r="G31" s="21">
        <f t="shared" ref="G31" si="5">$N$24/$N$25*E31</f>
        <v>2290.6841038632047</v>
      </c>
      <c r="H31" s="22">
        <f t="shared" si="0"/>
        <v>0</v>
      </c>
      <c r="I31" s="23"/>
      <c r="J31" s="23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4.8</v>
      </c>
      <c r="F32" s="20">
        <v>36650.94</v>
      </c>
      <c r="G32" s="4">
        <v>25814</v>
      </c>
      <c r="H32" s="22">
        <f>F32-G32</f>
        <v>10836.940000000002</v>
      </c>
      <c r="I32" s="23"/>
      <c r="J32" s="23"/>
      <c r="L32" s="14"/>
    </row>
    <row r="33" spans="2:14" ht="16.5" thickBot="1">
      <c r="B33" s="64" t="s">
        <v>173</v>
      </c>
      <c r="C33" s="49" t="s">
        <v>191</v>
      </c>
      <c r="D33" s="50" t="s">
        <v>188</v>
      </c>
      <c r="E33" s="95">
        <v>0.95</v>
      </c>
      <c r="F33" s="20">
        <f t="shared" si="1"/>
        <v>7253.8329955668141</v>
      </c>
      <c r="G33" s="21">
        <f t="shared" ref="G33" si="6">$N$24/$N$25*E33</f>
        <v>7253.8329955668141</v>
      </c>
      <c r="H33" s="30">
        <f>F33-G33</f>
        <v>0</v>
      </c>
      <c r="I33" s="23"/>
      <c r="J33" s="23"/>
    </row>
    <row r="34" spans="2:14" ht="16.5" thickBot="1">
      <c r="B34" s="63" t="s">
        <v>177</v>
      </c>
      <c r="C34" s="52"/>
      <c r="D34" s="52"/>
      <c r="E34" s="96">
        <f>SUM(E25:E33)</f>
        <v>20.59</v>
      </c>
      <c r="F34" s="53">
        <f>SUM(F25:F33)</f>
        <v>157217.28</v>
      </c>
      <c r="G34" s="54">
        <f>SUM(G25:G33)</f>
        <v>146380.34</v>
      </c>
      <c r="H34" s="35">
        <f>SUM(H25:H33)</f>
        <v>10836.940000000002</v>
      </c>
      <c r="I34" s="36"/>
      <c r="J34" s="36"/>
    </row>
    <row r="35" spans="2:14" ht="15.75">
      <c r="B35" s="14"/>
      <c r="C35" s="14"/>
      <c r="D35" s="14"/>
      <c r="E35" s="82"/>
      <c r="F35" s="82"/>
      <c r="G35" s="82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4.2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38"/>
      <c r="J37" s="38"/>
      <c r="K37" s="39"/>
      <c r="L37" s="40"/>
      <c r="M37" s="187"/>
      <c r="N37" s="187"/>
    </row>
    <row r="38" spans="2:14" ht="15.75">
      <c r="B38" s="88" t="s">
        <v>14</v>
      </c>
      <c r="C38" s="238">
        <f>E38+G38</f>
        <v>1470090.2005912268</v>
      </c>
      <c r="D38" s="239"/>
      <c r="E38" s="263">
        <f>F25+F26+F27+F28+F29+F30+F31+F33+E16</f>
        <v>1031464.1205912268</v>
      </c>
      <c r="F38" s="264"/>
      <c r="G38" s="263">
        <f>F32+G16</f>
        <v>438626.08</v>
      </c>
      <c r="H38" s="265"/>
      <c r="I38" s="222"/>
      <c r="J38" s="222"/>
      <c r="K38" s="7"/>
      <c r="L38" s="7"/>
      <c r="M38" s="188"/>
    </row>
    <row r="39" spans="2:14" ht="15.75">
      <c r="B39" s="89" t="s">
        <v>15</v>
      </c>
      <c r="C39" s="235">
        <f>E39+G39</f>
        <v>1475551.41</v>
      </c>
      <c r="D39" s="236"/>
      <c r="E39" s="235">
        <f>E17+119592.56</f>
        <v>1039329.6499999999</v>
      </c>
      <c r="F39" s="236"/>
      <c r="G39" s="235">
        <f>G17+36354.93</f>
        <v>436221.75999999995</v>
      </c>
      <c r="H39" s="237"/>
      <c r="I39" s="222"/>
      <c r="J39" s="222"/>
      <c r="K39" s="9"/>
      <c r="L39" s="7"/>
      <c r="M39" s="188"/>
    </row>
    <row r="40" spans="2:14" ht="15.75">
      <c r="B40" s="90" t="s">
        <v>176</v>
      </c>
      <c r="C40" s="235">
        <f>E40+G40</f>
        <v>1348631.12</v>
      </c>
      <c r="D40" s="236"/>
      <c r="E40" s="260">
        <f>G25+G26+G27+G28+G29+G30+G31+G33+E18</f>
        <v>1031464.12</v>
      </c>
      <c r="F40" s="261"/>
      <c r="G40" s="260">
        <f>G32+G18</f>
        <v>317167</v>
      </c>
      <c r="H40" s="262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222"/>
      <c r="J41" s="222"/>
      <c r="K41" s="41"/>
      <c r="L41" s="41"/>
    </row>
    <row r="42" spans="2:14" ht="36.75" customHeight="1" thickBot="1">
      <c r="B42" s="92" t="s">
        <v>275</v>
      </c>
      <c r="C42" s="249">
        <f>E42+G42</f>
        <v>162920.28999999986</v>
      </c>
      <c r="D42" s="250"/>
      <c r="E42" s="251">
        <f>E39+E41-E40</f>
        <v>43865.529999999912</v>
      </c>
      <c r="F42" s="252"/>
      <c r="G42" s="251">
        <f>G39-G40</f>
        <v>119054.75999999995</v>
      </c>
      <c r="H42" s="253"/>
      <c r="I42" s="222"/>
      <c r="J42" s="222"/>
      <c r="K42" s="41"/>
      <c r="L42" s="41"/>
    </row>
    <row r="43" spans="2:14" ht="34.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 ht="15.75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 ht="15.75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8" ht="15.75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3"/>
    </row>
    <row r="50" spans="2:8" ht="10.5" customHeight="1">
      <c r="E50" s="220"/>
    </row>
    <row r="51" spans="2:8" ht="15.75">
      <c r="C51" s="60"/>
    </row>
    <row r="52" spans="2:8" ht="15.75">
      <c r="C52" s="60"/>
    </row>
  </sheetData>
  <mergeCells count="60">
    <mergeCell ref="C40:D40"/>
    <mergeCell ref="C41:D41"/>
    <mergeCell ref="C42:D42"/>
    <mergeCell ref="M22:M23"/>
    <mergeCell ref="N22:N23"/>
    <mergeCell ref="C37:D37"/>
    <mergeCell ref="C38:D38"/>
    <mergeCell ref="C39:D39"/>
    <mergeCell ref="B36:H36"/>
    <mergeCell ref="E37:F37"/>
    <mergeCell ref="G37:H37"/>
    <mergeCell ref="E38:F38"/>
    <mergeCell ref="G38:H38"/>
    <mergeCell ref="E42:F42"/>
    <mergeCell ref="G42:H42"/>
    <mergeCell ref="C15:D15"/>
    <mergeCell ref="C16:D16"/>
    <mergeCell ref="C17:D17"/>
    <mergeCell ref="C18:D18"/>
    <mergeCell ref="C19:D19"/>
    <mergeCell ref="E17:F17"/>
    <mergeCell ref="G17:H17"/>
    <mergeCell ref="E20:F20"/>
    <mergeCell ref="G20:H20"/>
    <mergeCell ref="E18:F18"/>
    <mergeCell ref="G18:H18"/>
    <mergeCell ref="E19:F19"/>
    <mergeCell ref="G19:H19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C20:D20"/>
    <mergeCell ref="E16:F16"/>
    <mergeCell ref="G16:H16"/>
    <mergeCell ref="C45:E45"/>
    <mergeCell ref="C47:E47"/>
    <mergeCell ref="C49:E49"/>
    <mergeCell ref="F43:G43"/>
    <mergeCell ref="E39:F39"/>
    <mergeCell ref="G39:H39"/>
    <mergeCell ref="E40:F40"/>
    <mergeCell ref="G40:H40"/>
    <mergeCell ref="E41:F41"/>
    <mergeCell ref="G41:H41"/>
    <mergeCell ref="C43:E43"/>
    <mergeCell ref="F44:G44"/>
    <mergeCell ref="F45:G45"/>
    <mergeCell ref="F46:G46"/>
    <mergeCell ref="F47:G47"/>
    <mergeCell ref="F49:G49"/>
  </mergeCells>
  <printOptions horizontalCentered="1"/>
  <pageMargins left="0.19685039370078741" right="0.19685039370078741" top="0.15748031496062992" bottom="0.23622047244094491" header="0.31496062992125984" footer="0.23622047244094491"/>
  <pageSetup paperSize="9" scale="4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7" style="3" customWidth="1"/>
    <col min="3" max="3" width="19.28515625" style="82" customWidth="1"/>
    <col min="4" max="4" width="8.85546875" style="78" customWidth="1"/>
    <col min="5" max="5" width="10.140625" style="78" customWidth="1"/>
    <col min="6" max="6" width="10.140625" style="3" customWidth="1"/>
    <col min="7" max="7" width="10.42578125" style="3" customWidth="1"/>
    <col min="8" max="8" width="10.85546875" style="78" customWidth="1"/>
    <col min="9" max="9" width="13.28515625" style="3" customWidth="1"/>
    <col min="10" max="10" width="9.5703125" style="3" bestFit="1" customWidth="1"/>
    <col min="11" max="12" width="9.140625" style="3"/>
    <col min="13" max="13" width="14.42578125" style="185" customWidth="1"/>
    <col min="14" max="14" width="15" style="185" customWidth="1"/>
    <col min="15" max="15" width="12.42578125" style="3" customWidth="1"/>
    <col min="16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5.5" customHeight="1">
      <c r="B3" s="231"/>
      <c r="C3" s="231"/>
      <c r="D3" s="231"/>
      <c r="E3" s="231"/>
      <c r="F3" s="231"/>
      <c r="G3" s="231"/>
      <c r="H3" s="231"/>
      <c r="I3" s="56"/>
    </row>
    <row r="4" spans="2:9" ht="17.25" customHeight="1"/>
    <row r="5" spans="2:9">
      <c r="B5" s="3" t="s">
        <v>0</v>
      </c>
      <c r="D5" s="232" t="s">
        <v>54</v>
      </c>
      <c r="E5" s="232"/>
    </row>
    <row r="6" spans="2:9">
      <c r="B6" s="3" t="s">
        <v>1</v>
      </c>
      <c r="D6" s="216">
        <v>1960</v>
      </c>
      <c r="E6" s="216"/>
    </row>
    <row r="7" spans="2:9" hidden="1" outlineLevel="1">
      <c r="B7" s="3" t="s">
        <v>2</v>
      </c>
      <c r="D7" s="216">
        <v>2</v>
      </c>
      <c r="E7" s="216"/>
    </row>
    <row r="8" spans="2:9" hidden="1" outlineLevel="1">
      <c r="B8" s="3" t="s">
        <v>3</v>
      </c>
      <c r="D8" s="216">
        <v>8</v>
      </c>
      <c r="E8" s="216"/>
    </row>
    <row r="9" spans="2:9" ht="30.75" hidden="1" customHeight="1" outlineLevel="1">
      <c r="B9" s="11" t="s">
        <v>4</v>
      </c>
      <c r="C9" s="55"/>
      <c r="D9" s="216" t="s">
        <v>55</v>
      </c>
      <c r="E9" s="216"/>
    </row>
    <row r="10" spans="2:9" collapsed="1">
      <c r="B10" s="3" t="s">
        <v>5</v>
      </c>
      <c r="D10" s="216" t="s">
        <v>224</v>
      </c>
      <c r="E10" s="216"/>
      <c r="I10" s="14"/>
    </row>
    <row r="11" spans="2:9" hidden="1" outlineLevel="1">
      <c r="D11" s="216"/>
      <c r="E11" s="216"/>
    </row>
    <row r="12" spans="2:9" hidden="1" outlineLevel="1">
      <c r="D12" s="216"/>
      <c r="E12" s="216"/>
    </row>
    <row r="13" spans="2:9" collapsed="1">
      <c r="D13" s="216"/>
      <c r="E13" s="216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</row>
    <row r="15" spans="2:9" ht="48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</row>
    <row r="16" spans="2:9">
      <c r="B16" s="88" t="s">
        <v>14</v>
      </c>
      <c r="C16" s="238">
        <v>820811.47000000009</v>
      </c>
      <c r="D16" s="239"/>
      <c r="E16" s="238">
        <v>586817.08000000007</v>
      </c>
      <c r="F16" s="239"/>
      <c r="G16" s="238">
        <v>233994.39</v>
      </c>
      <c r="H16" s="240"/>
    </row>
    <row r="17" spans="2:14">
      <c r="B17" s="89" t="s">
        <v>15</v>
      </c>
      <c r="C17" s="235">
        <v>846045.8600000001</v>
      </c>
      <c r="D17" s="236"/>
      <c r="E17" s="235">
        <v>603045.93000000005</v>
      </c>
      <c r="F17" s="236"/>
      <c r="G17" s="235">
        <v>242999.93000000005</v>
      </c>
      <c r="H17" s="237"/>
    </row>
    <row r="18" spans="2:14" ht="16.5" thickBot="1">
      <c r="B18" s="90" t="s">
        <v>176</v>
      </c>
      <c r="C18" s="269">
        <v>803442.08</v>
      </c>
      <c r="D18" s="270"/>
      <c r="E18" s="269">
        <v>586817.07999999996</v>
      </c>
      <c r="F18" s="270"/>
      <c r="G18" s="269">
        <v>216625</v>
      </c>
      <c r="H18" s="271"/>
    </row>
    <row r="19" spans="2:14" ht="36.75" thickBot="1">
      <c r="B19" s="92" t="s">
        <v>274</v>
      </c>
      <c r="C19" s="249">
        <f>E19+G19</f>
        <v>42603.780000000144</v>
      </c>
      <c r="D19" s="250"/>
      <c r="E19" s="251">
        <f>E17-E18</f>
        <v>16228.850000000093</v>
      </c>
      <c r="F19" s="252"/>
      <c r="G19" s="251">
        <f>G17-G18</f>
        <v>26374.930000000051</v>
      </c>
      <c r="H19" s="253"/>
    </row>
    <row r="20" spans="2:14">
      <c r="B20" s="11"/>
      <c r="C20" s="61"/>
      <c r="D20" s="87"/>
      <c r="E20" s="216"/>
      <c r="F20" s="78"/>
    </row>
    <row r="21" spans="2:14" ht="19.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35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81090.06</v>
      </c>
      <c r="N23" s="204">
        <f>M23</f>
        <v>81090.06</v>
      </c>
    </row>
    <row r="24" spans="2:14" ht="61.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 t="shared" ref="F24:F29" si="0">$M$23/$M$24*E24</f>
        <v>15254.565742574257</v>
      </c>
      <c r="G24" s="21">
        <f t="shared" ref="G24:G29" si="1">$N$23/$N$24*E24</f>
        <v>15254.565742574257</v>
      </c>
      <c r="H24" s="22">
        <f>F24-G24</f>
        <v>0</v>
      </c>
      <c r="I24" s="23"/>
      <c r="J24" s="23"/>
      <c r="K24" s="24"/>
      <c r="L24" s="25"/>
      <c r="M24" s="205">
        <f>E33-E31</f>
        <v>18.18</v>
      </c>
      <c r="N24" s="205">
        <f>E33-E31</f>
        <v>18.18</v>
      </c>
    </row>
    <row r="25" spans="2:14" ht="62.25" customHeight="1">
      <c r="B25" s="26" t="s">
        <v>189</v>
      </c>
      <c r="C25" s="6" t="s">
        <v>205</v>
      </c>
      <c r="D25" s="19" t="s">
        <v>188</v>
      </c>
      <c r="E25" s="94">
        <v>3.8</v>
      </c>
      <c r="F25" s="20">
        <f t="shared" si="0"/>
        <v>16949.517491749175</v>
      </c>
      <c r="G25" s="21">
        <f t="shared" si="1"/>
        <v>16949.517491749175</v>
      </c>
      <c r="H25" s="22">
        <f t="shared" ref="H25:H30" si="2">F25-G25</f>
        <v>0</v>
      </c>
      <c r="I25" s="23"/>
      <c r="J25" s="23"/>
      <c r="K25" s="2"/>
      <c r="L25" s="2"/>
      <c r="M25" s="186"/>
      <c r="N25" s="186"/>
    </row>
    <row r="26" spans="2:14" ht="66.75" customHeight="1">
      <c r="B26" s="27" t="s">
        <v>171</v>
      </c>
      <c r="C26" s="6" t="s">
        <v>205</v>
      </c>
      <c r="D26" s="19" t="s">
        <v>188</v>
      </c>
      <c r="E26" s="94">
        <v>0.32</v>
      </c>
      <c r="F26" s="20">
        <f t="shared" si="0"/>
        <v>1427.3277887788779</v>
      </c>
      <c r="G26" s="21">
        <f t="shared" si="1"/>
        <v>1427.3277887788779</v>
      </c>
      <c r="H26" s="22">
        <f t="shared" si="2"/>
        <v>0</v>
      </c>
      <c r="I26" s="23"/>
      <c r="J26" s="23"/>
      <c r="L26" s="14"/>
    </row>
    <row r="27" spans="2:14" ht="29.25" customHeight="1">
      <c r="B27" s="27" t="s">
        <v>172</v>
      </c>
      <c r="C27" s="28" t="s">
        <v>190</v>
      </c>
      <c r="D27" s="19" t="s">
        <v>188</v>
      </c>
      <c r="E27" s="94">
        <v>0</v>
      </c>
      <c r="F27" s="20">
        <f t="shared" si="0"/>
        <v>0</v>
      </c>
      <c r="G27" s="21">
        <f t="shared" si="1"/>
        <v>0</v>
      </c>
      <c r="H27" s="22">
        <f t="shared" si="2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1.89</v>
      </c>
      <c r="F28" s="20">
        <f t="shared" si="0"/>
        <v>8430.1547524752477</v>
      </c>
      <c r="G28" s="21">
        <f t="shared" si="1"/>
        <v>8430.1547524752477</v>
      </c>
      <c r="H28" s="22">
        <f t="shared" si="2"/>
        <v>0</v>
      </c>
      <c r="I28" s="23"/>
      <c r="J28" s="23"/>
    </row>
    <row r="29" spans="2:14" ht="154.5" customHeight="1">
      <c r="B29" s="26" t="s">
        <v>203</v>
      </c>
      <c r="C29" s="29" t="s">
        <v>191</v>
      </c>
      <c r="D29" s="19" t="s">
        <v>188</v>
      </c>
      <c r="E29" s="94">
        <v>7.17</v>
      </c>
      <c r="F29" s="20">
        <f t="shared" si="0"/>
        <v>31981.063267326732</v>
      </c>
      <c r="G29" s="21">
        <f t="shared" si="1"/>
        <v>31981.063267326732</v>
      </c>
      <c r="H29" s="22">
        <f t="shared" si="2"/>
        <v>0</v>
      </c>
      <c r="I29" s="23"/>
      <c r="J29" s="23"/>
      <c r="K29" s="2"/>
      <c r="L29" s="1"/>
      <c r="M29" s="186"/>
      <c r="N29" s="186"/>
    </row>
    <row r="30" spans="2:14" ht="106.5" customHeight="1">
      <c r="B30" s="26" t="s">
        <v>192</v>
      </c>
      <c r="C30" s="6" t="s">
        <v>205</v>
      </c>
      <c r="D30" s="19" t="s">
        <v>188</v>
      </c>
      <c r="E30" s="94">
        <v>0.3</v>
      </c>
      <c r="F30" s="20">
        <f>$M$23/$M$24*E30</f>
        <v>1338.119801980198</v>
      </c>
      <c r="G30" s="21">
        <f>$N$23/$N$24*E30</f>
        <v>1338.119801980198</v>
      </c>
      <c r="H30" s="22">
        <f t="shared" si="2"/>
        <v>0</v>
      </c>
      <c r="I30" s="23"/>
      <c r="J30" s="23"/>
    </row>
    <row r="31" spans="2:14" ht="63" customHeight="1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21632.94</v>
      </c>
      <c r="G31" s="4">
        <v>8000</v>
      </c>
      <c r="H31" s="22">
        <f>F31-G31</f>
        <v>13632.939999999999</v>
      </c>
      <c r="I31" s="23"/>
      <c r="J31" s="23"/>
      <c r="L31" s="14"/>
    </row>
    <row r="32" spans="2:14" ht="16.5" thickBot="1">
      <c r="B32" s="64" t="s">
        <v>173</v>
      </c>
      <c r="C32" s="49" t="s">
        <v>191</v>
      </c>
      <c r="D32" s="50" t="s">
        <v>188</v>
      </c>
      <c r="E32" s="95">
        <v>1.28</v>
      </c>
      <c r="F32" s="20">
        <f>$M$23/$M$24*E32</f>
        <v>5709.3111551155116</v>
      </c>
      <c r="G32" s="21">
        <f>$N$23/$N$24*E32</f>
        <v>5709.3111551155116</v>
      </c>
      <c r="H32" s="30">
        <f>F32-G32</f>
        <v>0</v>
      </c>
      <c r="I32" s="23"/>
      <c r="J32" s="23"/>
    </row>
    <row r="33" spans="2:14" ht="16.5" thickBot="1">
      <c r="B33" s="63" t="s">
        <v>177</v>
      </c>
      <c r="C33" s="52"/>
      <c r="D33" s="52"/>
      <c r="E33" s="96">
        <f>SUM(E24:E32)</f>
        <v>23.03</v>
      </c>
      <c r="F33" s="53">
        <f>SUM(F24:F32)</f>
        <v>102723</v>
      </c>
      <c r="G33" s="54">
        <f>SUM(G24:G32)</f>
        <v>89090.06</v>
      </c>
      <c r="H33" s="35">
        <f>SUM(H24:H32)</f>
        <v>13632.939999999999</v>
      </c>
      <c r="I33" s="36"/>
      <c r="J33" s="36"/>
    </row>
    <row r="34" spans="2:14">
      <c r="B34" s="14"/>
      <c r="C34" s="14"/>
      <c r="D34" s="14"/>
      <c r="E34" s="82"/>
      <c r="F34" s="82"/>
      <c r="G34" s="82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923534.4700000002</v>
      </c>
      <c r="D37" s="239"/>
      <c r="E37" s="263">
        <f>F24+F25+F26+F27+F28+F29+F30+F32+E16</f>
        <v>667907.14000000013</v>
      </c>
      <c r="F37" s="264"/>
      <c r="G37" s="263">
        <f>F31+G16</f>
        <v>255627.33000000002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949380.69000000018</v>
      </c>
      <c r="D38" s="236"/>
      <c r="E38" s="235">
        <f>E17+81573.04</f>
        <v>684618.97000000009</v>
      </c>
      <c r="F38" s="236"/>
      <c r="G38" s="235">
        <f>G17+21761.79</f>
        <v>264761.72000000003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892532.1399999999</v>
      </c>
      <c r="D39" s="270"/>
      <c r="E39" s="260">
        <f>G24+G25+G26+G27+G28+G29+G30+G32+E18</f>
        <v>667907.1399999999</v>
      </c>
      <c r="F39" s="261"/>
      <c r="G39" s="260">
        <f>G31+G18</f>
        <v>224625</v>
      </c>
      <c r="H39" s="262"/>
      <c r="I39" s="222"/>
      <c r="J39" s="222"/>
      <c r="K39" s="41"/>
      <c r="L39" s="41"/>
    </row>
    <row r="40" spans="2:14" ht="31.5" customHeight="1" thickBot="1">
      <c r="B40" s="92" t="s">
        <v>275</v>
      </c>
      <c r="C40" s="249">
        <f>E40+G40</f>
        <v>56848.550000000221</v>
      </c>
      <c r="D40" s="250"/>
      <c r="E40" s="251">
        <f>E38-E39</f>
        <v>16711.830000000191</v>
      </c>
      <c r="F40" s="252"/>
      <c r="G40" s="251">
        <f>G38-G39</f>
        <v>40136.72000000003</v>
      </c>
      <c r="H40" s="253"/>
      <c r="I40" s="222"/>
      <c r="J40" s="222"/>
      <c r="K40" s="41"/>
      <c r="L40" s="41"/>
    </row>
    <row r="41" spans="2:14" ht="31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3"/>
    </row>
    <row r="48" spans="2:14" ht="12" customHeight="1">
      <c r="E48" s="220"/>
      <c r="F48" s="78"/>
    </row>
  </sheetData>
  <mergeCells count="54">
    <mergeCell ref="C38:D38"/>
    <mergeCell ref="C39:D39"/>
    <mergeCell ref="C40:D40"/>
    <mergeCell ref="M21:M22"/>
    <mergeCell ref="N21:N22"/>
    <mergeCell ref="B35:H35"/>
    <mergeCell ref="E36:F36"/>
    <mergeCell ref="G36:H36"/>
    <mergeCell ref="E37:F37"/>
    <mergeCell ref="G37:H37"/>
    <mergeCell ref="C36:D36"/>
    <mergeCell ref="C37:D37"/>
    <mergeCell ref="C15:D15"/>
    <mergeCell ref="C16:D16"/>
    <mergeCell ref="C17:D17"/>
    <mergeCell ref="C18:D18"/>
    <mergeCell ref="C19:D19"/>
    <mergeCell ref="G19:H19"/>
    <mergeCell ref="E16:F16"/>
    <mergeCell ref="G16:H16"/>
    <mergeCell ref="E17:F17"/>
    <mergeCell ref="G17:H17"/>
    <mergeCell ref="F47:G47"/>
    <mergeCell ref="E38:F38"/>
    <mergeCell ref="G38:H38"/>
    <mergeCell ref="G39:H39"/>
    <mergeCell ref="G40:H40"/>
    <mergeCell ref="F41:G41"/>
    <mergeCell ref="F42:G42"/>
    <mergeCell ref="F43:G43"/>
    <mergeCell ref="E39:F39"/>
    <mergeCell ref="E40:F40"/>
    <mergeCell ref="F45:G45"/>
    <mergeCell ref="F44:G44"/>
    <mergeCell ref="C41:E41"/>
    <mergeCell ref="C43:E43"/>
    <mergeCell ref="C45:E45"/>
    <mergeCell ref="C47:E47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8:F18"/>
    <mergeCell ref="G18:H18"/>
    <mergeCell ref="E19:F19"/>
  </mergeCells>
  <printOptions horizontalCentered="1"/>
  <pageMargins left="0.19685039370078741" right="0.19685039370078741" top="0.15748031496062992" bottom="0.27559055118110237" header="0.31496062992125984" footer="0.23622047244094491"/>
  <pageSetup paperSize="9" scale="4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7.5703125" style="3" customWidth="1"/>
    <col min="3" max="3" width="22.28515625" style="82" customWidth="1"/>
    <col min="4" max="5" width="10.28515625" style="78" customWidth="1"/>
    <col min="6" max="6" width="9.5703125" style="3" customWidth="1"/>
    <col min="7" max="7" width="10.42578125" style="3" customWidth="1"/>
    <col min="8" max="8" width="10.85546875" style="3" customWidth="1"/>
    <col min="9" max="9" width="10.7109375" style="3" bestFit="1" customWidth="1"/>
    <col min="10" max="10" width="9.140625" style="3"/>
    <col min="11" max="11" width="10.42578125" style="3" customWidth="1"/>
    <col min="12" max="12" width="9.140625" style="3"/>
    <col min="13" max="13" width="14" style="185" customWidth="1"/>
    <col min="14" max="14" width="13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3.25" customHeight="1">
      <c r="A3" s="56"/>
      <c r="B3" s="231"/>
      <c r="C3" s="231"/>
      <c r="D3" s="231"/>
      <c r="E3" s="231"/>
      <c r="F3" s="231"/>
      <c r="G3" s="231"/>
      <c r="H3" s="231"/>
    </row>
    <row r="4" spans="1:9" ht="9.75" customHeight="1"/>
    <row r="5" spans="1:9">
      <c r="B5" s="8" t="s">
        <v>0</v>
      </c>
      <c r="C5" s="114"/>
      <c r="D5" s="233" t="s">
        <v>56</v>
      </c>
      <c r="E5" s="233"/>
    </row>
    <row r="6" spans="1:9">
      <c r="B6" s="8" t="s">
        <v>1</v>
      </c>
      <c r="C6" s="114"/>
      <c r="D6" s="217">
        <v>1961</v>
      </c>
      <c r="E6" s="217"/>
    </row>
    <row r="7" spans="1:9" hidden="1" outlineLevel="1">
      <c r="B7" s="8" t="s">
        <v>2</v>
      </c>
      <c r="C7" s="114"/>
      <c r="D7" s="217">
        <v>2</v>
      </c>
      <c r="E7" s="217"/>
    </row>
    <row r="8" spans="1:9" hidden="1" outlineLevel="1">
      <c r="B8" s="8" t="s">
        <v>3</v>
      </c>
      <c r="C8" s="114"/>
      <c r="D8" s="217">
        <v>16</v>
      </c>
      <c r="E8" s="217"/>
    </row>
    <row r="9" spans="1:9" ht="30.75" hidden="1" customHeight="1" outlineLevel="1">
      <c r="B9" s="111" t="s">
        <v>4</v>
      </c>
      <c r="C9" s="115"/>
      <c r="D9" s="217" t="s">
        <v>57</v>
      </c>
      <c r="E9" s="217"/>
    </row>
    <row r="10" spans="1:9" collapsed="1">
      <c r="B10" s="8" t="s">
        <v>5</v>
      </c>
      <c r="C10" s="114"/>
      <c r="D10" s="217" t="s">
        <v>225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55"/>
      <c r="D12" s="87" t="s">
        <v>58</v>
      </c>
      <c r="E12" s="216"/>
      <c r="I12" s="14"/>
    </row>
    <row r="13" spans="1:9" ht="10.5" customHeight="1" collapsed="1">
      <c r="B13" s="11"/>
      <c r="C13" s="55"/>
      <c r="D13" s="87"/>
      <c r="E13" s="216"/>
      <c r="I13" s="14"/>
    </row>
    <row r="14" spans="1:9" ht="18.75" customHeight="1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4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 ht="15" customHeight="1">
      <c r="B16" s="88" t="s">
        <v>14</v>
      </c>
      <c r="C16" s="238">
        <v>1387345.3559595454</v>
      </c>
      <c r="D16" s="239"/>
      <c r="E16" s="238">
        <v>991517.60595954547</v>
      </c>
      <c r="F16" s="239"/>
      <c r="G16" s="238">
        <v>395827.75</v>
      </c>
      <c r="H16" s="240"/>
      <c r="I16" s="14"/>
    </row>
    <row r="17" spans="2:14" ht="15" customHeight="1">
      <c r="B17" s="89" t="s">
        <v>15</v>
      </c>
      <c r="C17" s="235">
        <v>1339678.44</v>
      </c>
      <c r="D17" s="236"/>
      <c r="E17" s="235">
        <v>962033.96</v>
      </c>
      <c r="F17" s="236"/>
      <c r="G17" s="235">
        <v>377644.48</v>
      </c>
      <c r="H17" s="237"/>
      <c r="I17" s="14"/>
    </row>
    <row r="18" spans="2:14" ht="15.75" customHeight="1">
      <c r="B18" s="90" t="s">
        <v>176</v>
      </c>
      <c r="C18" s="235">
        <v>1358242.96</v>
      </c>
      <c r="D18" s="236"/>
      <c r="E18" s="235">
        <v>991517.96</v>
      </c>
      <c r="F18" s="236"/>
      <c r="G18" s="235">
        <v>366725</v>
      </c>
      <c r="H18" s="237"/>
      <c r="I18" s="14"/>
    </row>
    <row r="19" spans="2:14" ht="15" customHeight="1" thickBot="1">
      <c r="B19" s="91" t="s">
        <v>208</v>
      </c>
      <c r="C19" s="269">
        <v>32400</v>
      </c>
      <c r="D19" s="270"/>
      <c r="E19" s="269">
        <v>32400</v>
      </c>
      <c r="F19" s="270"/>
      <c r="G19" s="269">
        <v>0</v>
      </c>
      <c r="H19" s="271"/>
      <c r="I19" s="14"/>
    </row>
    <row r="20" spans="2:14" ht="30.75" customHeight="1" thickBot="1">
      <c r="B20" s="92" t="s">
        <v>274</v>
      </c>
      <c r="C20" s="249">
        <f>E20+G20</f>
        <v>13835.479999999981</v>
      </c>
      <c r="D20" s="250"/>
      <c r="E20" s="251">
        <f>E17+E19-E18</f>
        <v>2916</v>
      </c>
      <c r="F20" s="252"/>
      <c r="G20" s="251">
        <f>G17-G18</f>
        <v>10919.479999999981</v>
      </c>
      <c r="H20" s="253"/>
      <c r="I20" s="14"/>
    </row>
    <row r="21" spans="2:14" ht="15.75" customHeight="1">
      <c r="B21" s="11"/>
      <c r="C21" s="61"/>
      <c r="D21" s="87"/>
      <c r="E21" s="216"/>
      <c r="F21" s="78"/>
      <c r="H21" s="78"/>
      <c r="I21" s="14"/>
    </row>
    <row r="22" spans="2:14" ht="17.25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4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I23" s="15"/>
      <c r="J23" s="15"/>
      <c r="L23" s="14"/>
      <c r="M23" s="242"/>
      <c r="N23" s="242"/>
    </row>
    <row r="24" spans="2:14" ht="4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I24" s="15"/>
      <c r="J24" s="15"/>
      <c r="M24" s="204">
        <v>136512.19</v>
      </c>
      <c r="N24" s="204">
        <f>M24</f>
        <v>136512.19</v>
      </c>
    </row>
    <row r="25" spans="2:14" ht="50.25" customHeight="1">
      <c r="B25" s="18" t="s">
        <v>178</v>
      </c>
      <c r="C25" s="6" t="s">
        <v>205</v>
      </c>
      <c r="D25" s="19" t="s">
        <v>188</v>
      </c>
      <c r="E25" s="93">
        <v>2.95</v>
      </c>
      <c r="F25" s="20">
        <f>$M$24/$M$25*E25</f>
        <v>21779.932963764197</v>
      </c>
      <c r="G25" s="21">
        <f>$N$24/$N$25*E25</f>
        <v>21779.932963764197</v>
      </c>
      <c r="H25" s="22">
        <f>F25-G25</f>
        <v>0</v>
      </c>
      <c r="I25" s="23"/>
      <c r="J25" s="23"/>
      <c r="K25" s="24"/>
      <c r="L25" s="25"/>
      <c r="M25" s="205">
        <f>E34-E32</f>
        <v>18.490000000000002</v>
      </c>
      <c r="N25" s="205">
        <f>E34-E32</f>
        <v>18.490000000000002</v>
      </c>
    </row>
    <row r="26" spans="2:14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28055.506868577606</v>
      </c>
      <c r="G26" s="21">
        <f>$N$24/$N$25*E26</f>
        <v>28055.506868577606</v>
      </c>
      <c r="H26" s="22">
        <f t="shared" ref="H26:H31" si="0">F26-G26</f>
        <v>0</v>
      </c>
      <c r="I26" s="23"/>
      <c r="J26" s="23"/>
      <c r="K26" s="2"/>
      <c r="L26" s="2"/>
      <c r="M26" s="186"/>
      <c r="N26" s="186"/>
    </row>
    <row r="27" spans="2:14" ht="55.5" customHeight="1">
      <c r="B27" s="27" t="s">
        <v>171</v>
      </c>
      <c r="C27" s="6" t="s">
        <v>205</v>
      </c>
      <c r="D27" s="19" t="s">
        <v>188</v>
      </c>
      <c r="E27" s="94">
        <v>0.32</v>
      </c>
      <c r="F27" s="20">
        <f t="shared" ref="F27:F33" si="1">$M$24/$M$25*E27</f>
        <v>2362.5689994591671</v>
      </c>
      <c r="G27" s="21">
        <f t="shared" ref="G27:G30" si="2">$N$24/$N$25*E27</f>
        <v>2362.5689994591671</v>
      </c>
      <c r="H27" s="22">
        <f t="shared" si="0"/>
        <v>0</v>
      </c>
      <c r="I27" s="23"/>
      <c r="J27" s="23"/>
      <c r="L27" s="14"/>
    </row>
    <row r="28" spans="2:14" ht="29.25" customHeight="1">
      <c r="B28" s="27" t="s">
        <v>172</v>
      </c>
      <c r="C28" s="28" t="s">
        <v>190</v>
      </c>
      <c r="D28" s="19" t="s">
        <v>188</v>
      </c>
      <c r="E28" s="94">
        <v>0.65</v>
      </c>
      <c r="F28" s="20">
        <f t="shared" ref="F28" si="3">$M$24/$M$25*E28</f>
        <v>4798.9682801514327</v>
      </c>
      <c r="G28" s="21">
        <f t="shared" ref="G28" si="4">$N$24/$N$25*E28</f>
        <v>4798.9682801514327</v>
      </c>
      <c r="H28" s="22">
        <f t="shared" si="0"/>
        <v>0</v>
      </c>
      <c r="I28" s="23"/>
      <c r="J28" s="23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1.89</v>
      </c>
      <c r="F29" s="20">
        <f t="shared" si="1"/>
        <v>13953.923153055704</v>
      </c>
      <c r="G29" s="21">
        <f t="shared" si="2"/>
        <v>13953.923153055704</v>
      </c>
      <c r="H29" s="22">
        <f t="shared" si="0"/>
        <v>0</v>
      </c>
      <c r="I29" s="23"/>
      <c r="J29" s="23"/>
    </row>
    <row r="30" spans="2:14" ht="154.5" customHeight="1">
      <c r="B30" s="26" t="s">
        <v>203</v>
      </c>
      <c r="C30" s="29" t="s">
        <v>191</v>
      </c>
      <c r="D30" s="19" t="s">
        <v>188</v>
      </c>
      <c r="E30" s="94">
        <v>7.17</v>
      </c>
      <c r="F30" s="20">
        <f t="shared" si="1"/>
        <v>52936.311644131958</v>
      </c>
      <c r="G30" s="21">
        <f t="shared" si="2"/>
        <v>52936.311644131958</v>
      </c>
      <c r="H30" s="22">
        <f t="shared" si="0"/>
        <v>0</v>
      </c>
      <c r="I30" s="23"/>
      <c r="J30" s="23"/>
      <c r="K30" s="2"/>
      <c r="L30" s="1"/>
      <c r="M30" s="186"/>
      <c r="N30" s="186"/>
    </row>
    <row r="31" spans="2:14" ht="106.5" customHeight="1">
      <c r="B31" s="26" t="s">
        <v>192</v>
      </c>
      <c r="C31" s="6" t="s">
        <v>205</v>
      </c>
      <c r="D31" s="19" t="s">
        <v>188</v>
      </c>
      <c r="E31" s="94">
        <v>0.35</v>
      </c>
      <c r="F31" s="20">
        <f t="shared" si="1"/>
        <v>2584.0598431584635</v>
      </c>
      <c r="G31" s="21">
        <f t="shared" ref="G31" si="5">$N$24/$N$25*E31</f>
        <v>2584.0598431584635</v>
      </c>
      <c r="H31" s="22">
        <f t="shared" si="0"/>
        <v>0</v>
      </c>
      <c r="I31" s="23"/>
      <c r="J31" s="23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4.8499999999999996</v>
      </c>
      <c r="F32" s="20">
        <v>35807.69</v>
      </c>
      <c r="G32" s="4">
        <v>3556</v>
      </c>
      <c r="H32" s="22">
        <f>F32-G32</f>
        <v>32251.690000000002</v>
      </c>
      <c r="I32" s="23"/>
      <c r="J32" s="23"/>
      <c r="L32" s="14"/>
    </row>
    <row r="33" spans="2:14" ht="16.5" thickBot="1">
      <c r="B33" s="64" t="s">
        <v>173</v>
      </c>
      <c r="C33" s="49" t="s">
        <v>191</v>
      </c>
      <c r="D33" s="50" t="s">
        <v>188</v>
      </c>
      <c r="E33" s="95">
        <v>1.36</v>
      </c>
      <c r="F33" s="20">
        <f t="shared" si="1"/>
        <v>10040.91824770146</v>
      </c>
      <c r="G33" s="21">
        <f t="shared" ref="G33" si="6">$N$24/$N$25*E33</f>
        <v>10040.91824770146</v>
      </c>
      <c r="H33" s="30">
        <f>F33-G33</f>
        <v>0</v>
      </c>
      <c r="I33" s="23"/>
      <c r="J33" s="23"/>
    </row>
    <row r="34" spans="2:14" ht="16.5" thickBot="1">
      <c r="B34" s="63" t="s">
        <v>177</v>
      </c>
      <c r="C34" s="52"/>
      <c r="D34" s="52"/>
      <c r="E34" s="96">
        <f>SUM(E25:E33)</f>
        <v>23.340000000000003</v>
      </c>
      <c r="F34" s="53">
        <f>SUM(F25:F33)</f>
        <v>172319.87999999998</v>
      </c>
      <c r="G34" s="54">
        <f>SUM(G25:G33)</f>
        <v>140068.19</v>
      </c>
      <c r="H34" s="35">
        <f>SUM(H25:H33)</f>
        <v>32251.690000000002</v>
      </c>
      <c r="I34" s="36"/>
      <c r="J34" s="36"/>
    </row>
    <row r="35" spans="2:14">
      <c r="B35" s="14"/>
      <c r="C35" s="14"/>
      <c r="D35" s="14"/>
      <c r="E35" s="82"/>
      <c r="F35" s="82"/>
      <c r="G35" s="82"/>
      <c r="H35" s="78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0.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38"/>
      <c r="J37" s="38"/>
      <c r="K37" s="39"/>
      <c r="L37" s="40"/>
      <c r="M37" s="187"/>
      <c r="N37" s="187"/>
    </row>
    <row r="38" spans="2:14">
      <c r="B38" s="88" t="s">
        <v>14</v>
      </c>
      <c r="C38" s="238">
        <f>E38+G38</f>
        <v>1559665.2359595455</v>
      </c>
      <c r="D38" s="239"/>
      <c r="E38" s="263">
        <f>F25+F26+F27+F28+F29+F30+F31+F33+E16</f>
        <v>1128029.7959595455</v>
      </c>
      <c r="F38" s="264"/>
      <c r="G38" s="263">
        <f>F32+G16</f>
        <v>431635.44</v>
      </c>
      <c r="H38" s="265"/>
      <c r="I38" s="222"/>
      <c r="J38" s="222"/>
      <c r="K38" s="7"/>
      <c r="L38" s="7"/>
      <c r="M38" s="188"/>
    </row>
    <row r="39" spans="2:14">
      <c r="B39" s="89" t="s">
        <v>15</v>
      </c>
      <c r="C39" s="235">
        <f>E39+G39</f>
        <v>1509885.18</v>
      </c>
      <c r="D39" s="236"/>
      <c r="E39" s="235">
        <f>E17+134838.16</f>
        <v>1096872.1199999999</v>
      </c>
      <c r="F39" s="236"/>
      <c r="G39" s="235">
        <f>G17+35368.58</f>
        <v>413013.06</v>
      </c>
      <c r="H39" s="284"/>
      <c r="I39" s="222"/>
      <c r="J39" s="222"/>
      <c r="K39" s="9"/>
      <c r="L39" s="7"/>
      <c r="M39" s="188"/>
    </row>
    <row r="40" spans="2:14">
      <c r="B40" s="90" t="s">
        <v>176</v>
      </c>
      <c r="C40" s="235">
        <f>E40+G40</f>
        <v>1498311.15</v>
      </c>
      <c r="D40" s="236"/>
      <c r="E40" s="260">
        <f>G25+G26+G27+G28+G29+G30+G31+G33+E18</f>
        <v>1128030.1499999999</v>
      </c>
      <c r="F40" s="261"/>
      <c r="G40" s="260">
        <f>G32+G18</f>
        <v>370281</v>
      </c>
      <c r="H40" s="262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222"/>
      <c r="J41" s="222"/>
      <c r="K41" s="41"/>
      <c r="L41" s="41"/>
    </row>
    <row r="42" spans="2:14" ht="25.5" thickBot="1">
      <c r="B42" s="92" t="s">
        <v>275</v>
      </c>
      <c r="C42" s="249">
        <f>E42+G42</f>
        <v>47574.02999999997</v>
      </c>
      <c r="D42" s="250"/>
      <c r="E42" s="251">
        <f>E39+E41-E40</f>
        <v>4841.9699999999721</v>
      </c>
      <c r="F42" s="252"/>
      <c r="G42" s="251">
        <f>G39-G40</f>
        <v>42732.06</v>
      </c>
      <c r="H42" s="253"/>
      <c r="I42" s="222"/>
      <c r="J42" s="222"/>
      <c r="K42" s="41"/>
      <c r="L42" s="41"/>
    </row>
    <row r="43" spans="2:14" ht="34.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8">
      <c r="B49" s="219" t="s">
        <v>170</v>
      </c>
      <c r="C49" s="266" t="s">
        <v>284</v>
      </c>
      <c r="D49" s="266"/>
      <c r="E49" s="266"/>
      <c r="F49" s="267" t="s">
        <v>294</v>
      </c>
      <c r="G49" s="267"/>
    </row>
    <row r="50" spans="2:8" ht="9" customHeight="1">
      <c r="E50" s="220"/>
      <c r="F50" s="78"/>
      <c r="H50" s="78"/>
    </row>
  </sheetData>
  <mergeCells count="60">
    <mergeCell ref="N22:N23"/>
    <mergeCell ref="C37:D37"/>
    <mergeCell ref="C38:D38"/>
    <mergeCell ref="C39:D39"/>
    <mergeCell ref="B36:H36"/>
    <mergeCell ref="E37:F37"/>
    <mergeCell ref="G37:H37"/>
    <mergeCell ref="F49:G49"/>
    <mergeCell ref="F44:G44"/>
    <mergeCell ref="F45:G45"/>
    <mergeCell ref="F46:G46"/>
    <mergeCell ref="M22:M23"/>
    <mergeCell ref="F43:G43"/>
    <mergeCell ref="E42:F42"/>
    <mergeCell ref="E41:F41"/>
    <mergeCell ref="G41:H41"/>
    <mergeCell ref="F47:G47"/>
    <mergeCell ref="C43:E43"/>
    <mergeCell ref="C45:E45"/>
    <mergeCell ref="C47:E47"/>
    <mergeCell ref="C49:E49"/>
    <mergeCell ref="C40:D40"/>
    <mergeCell ref="C41:D41"/>
    <mergeCell ref="C42:D42"/>
    <mergeCell ref="E38:F38"/>
    <mergeCell ref="G38:H38"/>
    <mergeCell ref="E39:F39"/>
    <mergeCell ref="G39:H39"/>
    <mergeCell ref="E40:F40"/>
    <mergeCell ref="G40:H40"/>
    <mergeCell ref="G42:H42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E16:F16"/>
    <mergeCell ref="G16:H16"/>
    <mergeCell ref="C15:D15"/>
    <mergeCell ref="C16:D16"/>
    <mergeCell ref="E17:F17"/>
    <mergeCell ref="G17:H17"/>
    <mergeCell ref="E18:F18"/>
    <mergeCell ref="G18:H18"/>
    <mergeCell ref="C17:D17"/>
    <mergeCell ref="C18:D18"/>
    <mergeCell ref="E19:F19"/>
    <mergeCell ref="G19:H19"/>
    <mergeCell ref="E20:F20"/>
    <mergeCell ref="G20:H20"/>
    <mergeCell ref="C19:D19"/>
    <mergeCell ref="C20:D20"/>
  </mergeCells>
  <printOptions horizontalCentered="1"/>
  <pageMargins left="0.19685039370078741" right="0.19685039370078741" top="0.19685039370078741" bottom="0.23622047244094491" header="0.15748031496062992" footer="0.23622047244094491"/>
  <pageSetup paperSize="9" scale="4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P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" style="3" customWidth="1"/>
    <col min="3" max="3" width="23.85546875" style="82" customWidth="1"/>
    <col min="4" max="4" width="9.140625" style="78" customWidth="1"/>
    <col min="5" max="5" width="11.28515625" style="78" customWidth="1"/>
    <col min="6" max="6" width="10" style="3" customWidth="1"/>
    <col min="7" max="7" width="10.42578125" style="3" customWidth="1"/>
    <col min="8" max="8" width="10.85546875" style="3" customWidth="1"/>
    <col min="9" max="9" width="10.7109375" style="3" bestFit="1" customWidth="1"/>
    <col min="10" max="10" width="14.28515625" style="3" customWidth="1"/>
    <col min="11" max="11" width="9.140625" style="3"/>
    <col min="12" max="12" width="11.7109375" style="3" customWidth="1"/>
    <col min="13" max="13" width="12.7109375" style="185" customWidth="1"/>
    <col min="14" max="14" width="12.85546875" style="185" customWidth="1"/>
    <col min="15" max="15" width="9.140625" style="3"/>
    <col min="16" max="16" width="9.140625" style="185"/>
    <col min="17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5.5" customHeight="1">
      <c r="B3" s="231"/>
      <c r="C3" s="231"/>
      <c r="D3" s="231"/>
      <c r="E3" s="231"/>
      <c r="F3" s="231"/>
      <c r="G3" s="231"/>
      <c r="H3" s="231"/>
      <c r="I3" s="56"/>
    </row>
    <row r="4" spans="2:9" ht="6" customHeight="1"/>
    <row r="5" spans="2:9">
      <c r="B5" s="8" t="s">
        <v>0</v>
      </c>
      <c r="C5" s="114"/>
      <c r="D5" s="233" t="s">
        <v>59</v>
      </c>
      <c r="E5" s="233"/>
      <c r="F5" s="8"/>
    </row>
    <row r="6" spans="2:9">
      <c r="B6" s="8" t="s">
        <v>1</v>
      </c>
      <c r="C6" s="114"/>
      <c r="D6" s="217">
        <v>1961</v>
      </c>
      <c r="E6" s="217"/>
      <c r="F6" s="8"/>
    </row>
    <row r="7" spans="2:9" hidden="1" outlineLevel="1">
      <c r="B7" s="8" t="s">
        <v>2</v>
      </c>
      <c r="C7" s="114"/>
      <c r="D7" s="217">
        <v>2</v>
      </c>
      <c r="E7" s="217"/>
      <c r="F7" s="8"/>
    </row>
    <row r="8" spans="2:9" hidden="1" outlineLevel="1">
      <c r="B8" s="8" t="s">
        <v>3</v>
      </c>
      <c r="C8" s="114"/>
      <c r="D8" s="217">
        <v>14</v>
      </c>
      <c r="E8" s="217"/>
      <c r="F8" s="8"/>
    </row>
    <row r="9" spans="2:9" ht="30.75" hidden="1" customHeight="1" outlineLevel="1">
      <c r="B9" s="111" t="s">
        <v>4</v>
      </c>
      <c r="C9" s="115"/>
      <c r="D9" s="217" t="s">
        <v>60</v>
      </c>
      <c r="E9" s="217"/>
      <c r="F9" s="8"/>
    </row>
    <row r="10" spans="2:9" collapsed="1">
      <c r="B10" s="8" t="s">
        <v>5</v>
      </c>
      <c r="C10" s="114"/>
      <c r="D10" s="217" t="s">
        <v>226</v>
      </c>
      <c r="E10" s="217"/>
      <c r="F10" s="8"/>
      <c r="I10" s="14"/>
    </row>
    <row r="11" spans="2:9" hidden="1" outlineLevel="1">
      <c r="B11" s="3" t="s">
        <v>6</v>
      </c>
      <c r="D11" s="216" t="s">
        <v>61</v>
      </c>
      <c r="E11" s="216"/>
    </row>
    <row r="12" spans="2:9" ht="34.5" hidden="1" customHeight="1" outlineLevel="1">
      <c r="B12" s="11" t="s">
        <v>7</v>
      </c>
      <c r="C12" s="55"/>
      <c r="D12" s="87" t="s">
        <v>62</v>
      </c>
      <c r="E12" s="216"/>
      <c r="I12" s="14"/>
    </row>
    <row r="13" spans="2:9" ht="7.5" customHeight="1" collapsed="1">
      <c r="B13" s="11"/>
      <c r="C13" s="55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1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>
      <c r="B16" s="88" t="s">
        <v>14</v>
      </c>
      <c r="C16" s="238">
        <v>1094950.4179150262</v>
      </c>
      <c r="D16" s="273"/>
      <c r="E16" s="263">
        <v>859858.78801688366</v>
      </c>
      <c r="F16" s="264"/>
      <c r="G16" s="263">
        <v>235091.62989814259</v>
      </c>
      <c r="H16" s="265"/>
      <c r="I16" s="14"/>
    </row>
    <row r="17" spans="2:15">
      <c r="B17" s="89" t="s">
        <v>15</v>
      </c>
      <c r="C17" s="235">
        <v>895713.63000000012</v>
      </c>
      <c r="D17" s="236"/>
      <c r="E17" s="235">
        <v>711245.77116237278</v>
      </c>
      <c r="F17" s="236"/>
      <c r="G17" s="235">
        <v>184467.85883762731</v>
      </c>
      <c r="H17" s="237"/>
      <c r="I17" s="14"/>
    </row>
    <row r="18" spans="2:15">
      <c r="B18" s="90" t="s">
        <v>176</v>
      </c>
      <c r="C18" s="235">
        <v>1078355.79</v>
      </c>
      <c r="D18" s="236"/>
      <c r="E18" s="260">
        <v>859858.79</v>
      </c>
      <c r="F18" s="261"/>
      <c r="G18" s="260">
        <v>218497</v>
      </c>
      <c r="H18" s="262"/>
      <c r="I18" s="14"/>
    </row>
    <row r="19" spans="2:15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5" ht="27" customHeight="1" thickBot="1">
      <c r="B20" s="92" t="s">
        <v>274</v>
      </c>
      <c r="C20" s="249">
        <f>E20+G20</f>
        <v>-150242.15999999995</v>
      </c>
      <c r="D20" s="250"/>
      <c r="E20" s="251">
        <f>E17+E19-E18</f>
        <v>-116213.01883762726</v>
      </c>
      <c r="F20" s="252"/>
      <c r="G20" s="251">
        <f>G17-G18</f>
        <v>-34029.141162372689</v>
      </c>
      <c r="H20" s="253"/>
      <c r="I20" s="14"/>
    </row>
    <row r="21" spans="2:15">
      <c r="B21" s="11"/>
      <c r="C21" s="61"/>
      <c r="D21" s="87"/>
      <c r="E21" s="216"/>
      <c r="F21" s="78"/>
      <c r="H21" s="78"/>
      <c r="I21" s="14"/>
    </row>
    <row r="22" spans="2:15" ht="21.75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5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I23" s="15"/>
      <c r="J23" s="15"/>
      <c r="L23" s="14"/>
      <c r="M23" s="242"/>
      <c r="N23" s="242"/>
    </row>
    <row r="24" spans="2:15" ht="4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I24" s="15"/>
      <c r="J24" s="15"/>
      <c r="M24" s="204">
        <v>121218.05</v>
      </c>
      <c r="N24" s="204">
        <f>M24</f>
        <v>121218.05</v>
      </c>
    </row>
    <row r="25" spans="2:15" ht="50.25" customHeight="1">
      <c r="B25" s="18" t="s">
        <v>178</v>
      </c>
      <c r="C25" s="6" t="s">
        <v>205</v>
      </c>
      <c r="D25" s="19" t="s">
        <v>188</v>
      </c>
      <c r="E25" s="93">
        <v>3.45</v>
      </c>
      <c r="F25" s="20">
        <f>$M$24/$M$25*E25</f>
        <v>25407.185449574728</v>
      </c>
      <c r="G25" s="21">
        <f>$N$24/$N$25*E25</f>
        <v>25407.185449574728</v>
      </c>
      <c r="H25" s="22">
        <f>F25-G25</f>
        <v>0</v>
      </c>
      <c r="I25" s="23"/>
      <c r="J25" s="23"/>
      <c r="K25" s="24"/>
      <c r="L25" s="25"/>
      <c r="M25" s="205">
        <f>E34-E32</f>
        <v>16.46</v>
      </c>
      <c r="N25" s="205">
        <f>E34-E32</f>
        <v>16.46</v>
      </c>
      <c r="O25" s="14"/>
    </row>
    <row r="26" spans="2:15" ht="51">
      <c r="B26" s="26" t="s">
        <v>189</v>
      </c>
      <c r="C26" s="6" t="s">
        <v>205</v>
      </c>
      <c r="D26" s="19" t="s">
        <v>188</v>
      </c>
      <c r="E26" s="94">
        <v>0</v>
      </c>
      <c r="F26" s="20">
        <f t="shared" ref="F26:F33" si="0">$M$24/$M$25*E26</f>
        <v>0</v>
      </c>
      <c r="G26" s="21">
        <f t="shared" ref="G26:G31" si="1">$N$24/$N$25*E26</f>
        <v>0</v>
      </c>
      <c r="H26" s="22">
        <f t="shared" ref="H26:H31" si="2">F26-G26</f>
        <v>0</v>
      </c>
      <c r="I26" s="23"/>
      <c r="J26" s="23"/>
      <c r="K26" s="2"/>
      <c r="L26" s="8"/>
      <c r="M26" s="188"/>
      <c r="N26" s="188"/>
      <c r="O26" s="200"/>
    </row>
    <row r="27" spans="2:15" ht="55.5" customHeight="1">
      <c r="B27" s="27" t="s">
        <v>171</v>
      </c>
      <c r="C27" s="6" t="s">
        <v>205</v>
      </c>
      <c r="D27" s="19" t="s">
        <v>188</v>
      </c>
      <c r="E27" s="94">
        <v>0.32</v>
      </c>
      <c r="F27" s="20">
        <f t="shared" si="0"/>
        <v>2356.6085054678006</v>
      </c>
      <c r="G27" s="21">
        <f t="shared" si="1"/>
        <v>2356.6085054678006</v>
      </c>
      <c r="H27" s="22">
        <f t="shared" si="2"/>
        <v>0</v>
      </c>
      <c r="I27" s="23"/>
      <c r="J27" s="23"/>
      <c r="L27" s="8"/>
      <c r="M27" s="193"/>
      <c r="N27" s="193"/>
      <c r="O27" s="8"/>
    </row>
    <row r="28" spans="2:15" ht="29.25" customHeight="1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si="0"/>
        <v>4713.2170109356011</v>
      </c>
      <c r="G28" s="21">
        <f t="shared" si="1"/>
        <v>4713.2170109356011</v>
      </c>
      <c r="H28" s="22">
        <f t="shared" si="2"/>
        <v>0</v>
      </c>
      <c r="I28" s="23"/>
      <c r="J28" s="23"/>
      <c r="L28" s="200"/>
      <c r="M28" s="188"/>
      <c r="N28" s="188"/>
      <c r="O28" s="200"/>
    </row>
    <row r="29" spans="2:15" ht="51">
      <c r="B29" s="26" t="s">
        <v>179</v>
      </c>
      <c r="C29" s="29" t="s">
        <v>211</v>
      </c>
      <c r="D29" s="19" t="s">
        <v>188</v>
      </c>
      <c r="E29" s="94">
        <v>1.98</v>
      </c>
      <c r="F29" s="20">
        <f t="shared" si="0"/>
        <v>14581.515127582017</v>
      </c>
      <c r="G29" s="21">
        <f t="shared" si="1"/>
        <v>14581.515127582017</v>
      </c>
      <c r="H29" s="22">
        <f t="shared" si="2"/>
        <v>0</v>
      </c>
      <c r="I29" s="23"/>
      <c r="J29" s="23"/>
    </row>
    <row r="30" spans="2:15" ht="154.5" customHeight="1">
      <c r="B30" s="26" t="s">
        <v>203</v>
      </c>
      <c r="C30" s="29" t="s">
        <v>191</v>
      </c>
      <c r="D30" s="19" t="s">
        <v>188</v>
      </c>
      <c r="E30" s="94">
        <v>8.16</v>
      </c>
      <c r="F30" s="20">
        <f t="shared" si="0"/>
        <v>60093.516889428916</v>
      </c>
      <c r="G30" s="21">
        <f t="shared" si="1"/>
        <v>60093.516889428916</v>
      </c>
      <c r="H30" s="22">
        <f t="shared" si="2"/>
        <v>0</v>
      </c>
      <c r="I30" s="23"/>
      <c r="J30" s="23"/>
      <c r="K30" s="2"/>
      <c r="L30" s="1"/>
      <c r="M30" s="186"/>
      <c r="N30" s="186"/>
    </row>
    <row r="31" spans="2:15" ht="106.5" customHeight="1">
      <c r="B31" s="26" t="s">
        <v>192</v>
      </c>
      <c r="C31" s="6" t="s">
        <v>205</v>
      </c>
      <c r="D31" s="19" t="s">
        <v>188</v>
      </c>
      <c r="E31" s="94">
        <v>0.63</v>
      </c>
      <c r="F31" s="20">
        <f t="shared" si="0"/>
        <v>4639.5729951397325</v>
      </c>
      <c r="G31" s="21">
        <f t="shared" si="1"/>
        <v>4639.5729951397325</v>
      </c>
      <c r="H31" s="22">
        <f t="shared" si="2"/>
        <v>0</v>
      </c>
      <c r="I31" s="23"/>
      <c r="J31" s="23"/>
    </row>
    <row r="32" spans="2:15" ht="56.25" customHeight="1">
      <c r="B32" s="27" t="s">
        <v>193</v>
      </c>
      <c r="C32" s="6" t="s">
        <v>205</v>
      </c>
      <c r="D32" s="19" t="s">
        <v>188</v>
      </c>
      <c r="E32" s="94">
        <v>4.8499999999999996</v>
      </c>
      <c r="F32" s="20">
        <v>35717.5</v>
      </c>
      <c r="G32" s="4">
        <v>652</v>
      </c>
      <c r="H32" s="22">
        <f>F32-G32</f>
        <v>35065.5</v>
      </c>
      <c r="I32" s="23"/>
      <c r="J32" s="23"/>
      <c r="L32" s="14"/>
    </row>
    <row r="33" spans="2:14" ht="16.5" thickBot="1">
      <c r="B33" s="64" t="s">
        <v>173</v>
      </c>
      <c r="C33" s="49" t="s">
        <v>191</v>
      </c>
      <c r="D33" s="50" t="s">
        <v>188</v>
      </c>
      <c r="E33" s="95">
        <v>1.28</v>
      </c>
      <c r="F33" s="20">
        <f t="shared" si="0"/>
        <v>9426.4340218712023</v>
      </c>
      <c r="G33" s="21">
        <f t="shared" ref="G33" si="3">$N$24/$N$25*E33</f>
        <v>9426.4340218712023</v>
      </c>
      <c r="H33" s="30">
        <f>F33-G33</f>
        <v>0</v>
      </c>
      <c r="I33" s="23"/>
      <c r="J33" s="23"/>
    </row>
    <row r="34" spans="2:14" ht="16.5" thickBot="1">
      <c r="B34" s="63" t="s">
        <v>177</v>
      </c>
      <c r="C34" s="52"/>
      <c r="D34" s="52"/>
      <c r="E34" s="96">
        <f>SUM(E25:E33)</f>
        <v>21.310000000000002</v>
      </c>
      <c r="F34" s="53">
        <f>SUM(F25:F33)</f>
        <v>156935.54999999999</v>
      </c>
      <c r="G34" s="54">
        <f>SUM(G25:G33)</f>
        <v>121870.05</v>
      </c>
      <c r="H34" s="35">
        <f>SUM(H25:H33)</f>
        <v>35065.5</v>
      </c>
      <c r="I34" s="36"/>
      <c r="J34" s="36"/>
    </row>
    <row r="35" spans="2:14">
      <c r="B35" s="14"/>
      <c r="C35" s="14"/>
      <c r="D35" s="14"/>
      <c r="E35" s="82"/>
      <c r="F35" s="82"/>
      <c r="G35" s="82"/>
      <c r="H35" s="78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4.2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38"/>
      <c r="J37" s="38"/>
      <c r="K37" s="39"/>
      <c r="L37" s="40"/>
      <c r="M37" s="187"/>
      <c r="N37" s="187"/>
    </row>
    <row r="38" spans="2:14">
      <c r="B38" s="88" t="s">
        <v>14</v>
      </c>
      <c r="C38" s="238">
        <f>E38+G38</f>
        <v>1251885.9679150262</v>
      </c>
      <c r="D38" s="239"/>
      <c r="E38" s="263">
        <f>F25+F26+F27+F28+F29+F30+F31+F33+E16</f>
        <v>981076.8380168837</v>
      </c>
      <c r="F38" s="264"/>
      <c r="G38" s="263">
        <f>F32+G16</f>
        <v>270809.12989814259</v>
      </c>
      <c r="H38" s="265"/>
      <c r="I38" s="222"/>
      <c r="J38" s="222"/>
      <c r="K38" s="7"/>
      <c r="L38" s="7"/>
      <c r="M38" s="188"/>
    </row>
    <row r="39" spans="2:14">
      <c r="B39" s="89" t="s">
        <v>15</v>
      </c>
      <c r="C39" s="235">
        <f>E39+G39</f>
        <v>1025128.2000000001</v>
      </c>
      <c r="D39" s="236"/>
      <c r="E39" s="235">
        <f>E17+99960.76</f>
        <v>811206.53116237279</v>
      </c>
      <c r="F39" s="236"/>
      <c r="G39" s="235">
        <f>G17+29453.81</f>
        <v>213921.66883762731</v>
      </c>
      <c r="H39" s="237"/>
      <c r="I39" s="222"/>
      <c r="J39" s="222"/>
      <c r="K39" s="9"/>
      <c r="L39" s="7"/>
      <c r="M39" s="188"/>
    </row>
    <row r="40" spans="2:14">
      <c r="B40" s="90" t="s">
        <v>176</v>
      </c>
      <c r="C40" s="235">
        <f>E40+G40</f>
        <v>1200225.8400000001</v>
      </c>
      <c r="D40" s="236"/>
      <c r="E40" s="260">
        <f>G25+G26+G27+G28+G29+G30+G31+G33+E18</f>
        <v>981076.84000000008</v>
      </c>
      <c r="F40" s="261"/>
      <c r="G40" s="260">
        <f>G32+G18</f>
        <v>219149</v>
      </c>
      <c r="H40" s="262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222"/>
      <c r="J41" s="222"/>
      <c r="K41" s="41"/>
      <c r="L41" s="41"/>
    </row>
    <row r="42" spans="2:14" ht="36.75" thickBot="1">
      <c r="B42" s="92" t="s">
        <v>275</v>
      </c>
      <c r="C42" s="249">
        <f>E42+G42</f>
        <v>-139097.63999999998</v>
      </c>
      <c r="D42" s="250"/>
      <c r="E42" s="251">
        <f>E39+E41-E40</f>
        <v>-133870.30883762729</v>
      </c>
      <c r="F42" s="252"/>
      <c r="G42" s="251">
        <f>G39-G40</f>
        <v>-5227.3311623726913</v>
      </c>
      <c r="H42" s="253"/>
      <c r="I42" s="222"/>
      <c r="J42" s="222"/>
      <c r="K42" s="41"/>
      <c r="L42" s="41"/>
    </row>
    <row r="43" spans="2:14" ht="34.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7">
      <c r="B49" s="219" t="s">
        <v>170</v>
      </c>
      <c r="C49" s="266" t="s">
        <v>284</v>
      </c>
      <c r="D49" s="266"/>
      <c r="E49" s="266"/>
      <c r="F49" s="267" t="s">
        <v>294</v>
      </c>
      <c r="G49" s="267"/>
    </row>
    <row r="50" spans="2:7" ht="10.5" customHeight="1">
      <c r="E50" s="220"/>
    </row>
  </sheetData>
  <mergeCells count="60">
    <mergeCell ref="C40:D40"/>
    <mergeCell ref="E42:F42"/>
    <mergeCell ref="G42:H42"/>
    <mergeCell ref="E41:F41"/>
    <mergeCell ref="G41:H41"/>
    <mergeCell ref="C41:D41"/>
    <mergeCell ref="C42:D42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C15:D15"/>
    <mergeCell ref="C16:D16"/>
    <mergeCell ref="C17:D17"/>
    <mergeCell ref="C18:D18"/>
    <mergeCell ref="C19:D19"/>
    <mergeCell ref="B14:H14"/>
    <mergeCell ref="E15:F15"/>
    <mergeCell ref="G15:H15"/>
    <mergeCell ref="E16:F16"/>
    <mergeCell ref="G16:H16"/>
    <mergeCell ref="E17:F17"/>
    <mergeCell ref="G17:H17"/>
    <mergeCell ref="E18:F18"/>
    <mergeCell ref="E39:F39"/>
    <mergeCell ref="G39:H39"/>
    <mergeCell ref="E38:F38"/>
    <mergeCell ref="G38:H38"/>
    <mergeCell ref="B36:H36"/>
    <mergeCell ref="C20:D20"/>
    <mergeCell ref="C37:D37"/>
    <mergeCell ref="C38:D38"/>
    <mergeCell ref="C39:D39"/>
    <mergeCell ref="N22:N23"/>
    <mergeCell ref="E19:F19"/>
    <mergeCell ref="G19:H19"/>
    <mergeCell ref="E20:F20"/>
    <mergeCell ref="G20:H20"/>
    <mergeCell ref="C45:E45"/>
    <mergeCell ref="C47:E47"/>
    <mergeCell ref="C49:E49"/>
    <mergeCell ref="G18:H18"/>
    <mergeCell ref="M22:M23"/>
    <mergeCell ref="F44:G44"/>
    <mergeCell ref="F46:G46"/>
    <mergeCell ref="E40:F40"/>
    <mergeCell ref="G40:H40"/>
    <mergeCell ref="F43:G43"/>
    <mergeCell ref="C43:E43"/>
    <mergeCell ref="F49:G49"/>
    <mergeCell ref="F45:G45"/>
    <mergeCell ref="F47:G47"/>
    <mergeCell ref="E37:F37"/>
    <mergeCell ref="G37:H37"/>
  </mergeCells>
  <printOptions horizontalCentered="1"/>
  <pageMargins left="0.19685039370078741" right="0.19685039370078741" top="0.31496062992125984" bottom="0.23622047244094491" header="0.31496062992125984" footer="0.31496062992125984"/>
  <pageSetup paperSize="9" scale="4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P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7.140625" style="3" customWidth="1"/>
    <col min="3" max="3" width="21.5703125" style="82" customWidth="1"/>
    <col min="4" max="4" width="9.85546875" style="78" customWidth="1"/>
    <col min="5" max="5" width="9.7109375" style="78" customWidth="1"/>
    <col min="6" max="6" width="9.42578125" style="3" customWidth="1"/>
    <col min="7" max="7" width="10.42578125" style="3" customWidth="1"/>
    <col min="8" max="8" width="10.5703125" style="78" customWidth="1"/>
    <col min="9" max="9" width="10.7109375" style="3" bestFit="1" customWidth="1"/>
    <col min="10" max="10" width="11.7109375" style="3" customWidth="1"/>
    <col min="11" max="11" width="9.140625" style="3"/>
    <col min="12" max="12" width="11.7109375" style="3" customWidth="1"/>
    <col min="13" max="13" width="12.7109375" style="185" customWidth="1"/>
    <col min="14" max="14" width="12.140625" style="185" customWidth="1"/>
    <col min="15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1.75" customHeight="1">
      <c r="B3" s="231"/>
      <c r="C3" s="231"/>
      <c r="D3" s="231"/>
      <c r="E3" s="231"/>
      <c r="F3" s="231"/>
      <c r="G3" s="231"/>
      <c r="H3" s="231"/>
      <c r="I3" s="56"/>
    </row>
    <row r="4" spans="2:9" ht="11.25" customHeight="1"/>
    <row r="5" spans="2:9">
      <c r="B5" s="8" t="s">
        <v>0</v>
      </c>
      <c r="C5" s="114"/>
      <c r="D5" s="233" t="s">
        <v>63</v>
      </c>
      <c r="E5" s="233"/>
    </row>
    <row r="6" spans="2:9">
      <c r="B6" s="8" t="s">
        <v>1</v>
      </c>
      <c r="C6" s="114"/>
      <c r="D6" s="217">
        <v>1962</v>
      </c>
      <c r="E6" s="217"/>
    </row>
    <row r="7" spans="2:9" hidden="1" outlineLevel="1">
      <c r="B7" s="8" t="s">
        <v>2</v>
      </c>
      <c r="C7" s="114"/>
      <c r="D7" s="217">
        <v>2</v>
      </c>
      <c r="E7" s="217"/>
    </row>
    <row r="8" spans="2:9" hidden="1" outlineLevel="1">
      <c r="B8" s="8" t="s">
        <v>3</v>
      </c>
      <c r="C8" s="114"/>
      <c r="D8" s="217">
        <v>16</v>
      </c>
      <c r="E8" s="217"/>
    </row>
    <row r="9" spans="2:9" ht="30.75" hidden="1" customHeight="1" outlineLevel="1">
      <c r="B9" s="111" t="s">
        <v>4</v>
      </c>
      <c r="C9" s="115"/>
      <c r="D9" s="217" t="s">
        <v>64</v>
      </c>
      <c r="E9" s="217"/>
    </row>
    <row r="10" spans="2:9" collapsed="1">
      <c r="B10" s="8" t="s">
        <v>5</v>
      </c>
      <c r="C10" s="114"/>
      <c r="D10" s="217" t="s">
        <v>227</v>
      </c>
      <c r="E10" s="217"/>
      <c r="I10" s="14"/>
    </row>
    <row r="11" spans="2:9" hidden="1" outlineLevel="1">
      <c r="B11" s="3" t="s">
        <v>6</v>
      </c>
      <c r="D11" s="216" t="s">
        <v>65</v>
      </c>
      <c r="E11" s="216"/>
    </row>
    <row r="12" spans="2:9" ht="30.75" hidden="1" customHeight="1" outlineLevel="1">
      <c r="B12" s="11" t="s">
        <v>7</v>
      </c>
      <c r="C12" s="55"/>
      <c r="D12" s="87" t="s">
        <v>66</v>
      </c>
      <c r="E12" s="216"/>
      <c r="I12" s="14"/>
    </row>
    <row r="13" spans="2:9" ht="8.25" customHeight="1" collapsed="1">
      <c r="B13" s="11"/>
      <c r="C13" s="55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1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>
      <c r="B16" s="88" t="s">
        <v>14</v>
      </c>
      <c r="C16" s="238">
        <v>1061933.1066219828</v>
      </c>
      <c r="D16" s="273"/>
      <c r="E16" s="263">
        <v>864352.71328633302</v>
      </c>
      <c r="F16" s="264"/>
      <c r="G16" s="263">
        <v>197580.39333564974</v>
      </c>
      <c r="H16" s="265"/>
      <c r="I16" s="14"/>
    </row>
    <row r="17" spans="2:16">
      <c r="B17" s="89" t="s">
        <v>15</v>
      </c>
      <c r="C17" s="235">
        <v>1067069.8782626824</v>
      </c>
      <c r="D17" s="236"/>
      <c r="E17" s="235">
        <v>872659.95666435023</v>
      </c>
      <c r="F17" s="236"/>
      <c r="G17" s="235">
        <v>194409.92159833221</v>
      </c>
      <c r="H17" s="237"/>
      <c r="I17" s="14"/>
    </row>
    <row r="18" spans="2:16" ht="16.5" thickBot="1">
      <c r="B18" s="90" t="s">
        <v>176</v>
      </c>
      <c r="C18" s="235">
        <v>111484.71</v>
      </c>
      <c r="D18" s="236"/>
      <c r="E18" s="260">
        <v>864352.71</v>
      </c>
      <c r="F18" s="261"/>
      <c r="G18" s="260">
        <v>250332</v>
      </c>
      <c r="H18" s="262"/>
      <c r="I18" s="14"/>
    </row>
    <row r="19" spans="2:16" ht="32.25" customHeight="1" thickBot="1">
      <c r="B19" s="92" t="s">
        <v>274</v>
      </c>
      <c r="C19" s="249">
        <f>E19+G19</f>
        <v>-47614.831737317523</v>
      </c>
      <c r="D19" s="250"/>
      <c r="E19" s="251">
        <f>E17-E18</f>
        <v>8307.2466643502703</v>
      </c>
      <c r="F19" s="252"/>
      <c r="G19" s="251">
        <f>G17-G18</f>
        <v>-55922.078401667794</v>
      </c>
      <c r="H19" s="253"/>
      <c r="I19" s="14"/>
    </row>
    <row r="20" spans="2:16">
      <c r="B20" s="11"/>
      <c r="C20" s="61"/>
      <c r="D20" s="87"/>
      <c r="E20" s="216"/>
      <c r="F20" s="78"/>
      <c r="I20" s="14"/>
    </row>
    <row r="21" spans="2:16" ht="17.2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6" ht="35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6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110162.38</v>
      </c>
      <c r="N23" s="204">
        <f>M23</f>
        <v>110162.38</v>
      </c>
    </row>
    <row r="24" spans="2:16" ht="50.25" customHeight="1">
      <c r="B24" s="18" t="s">
        <v>178</v>
      </c>
      <c r="C24" s="6" t="s">
        <v>205</v>
      </c>
      <c r="D24" s="19" t="s">
        <v>188</v>
      </c>
      <c r="E24" s="93">
        <v>3.12</v>
      </c>
      <c r="F24" s="20">
        <f>$M$23/$M$24*E24</f>
        <v>23901.71248956885</v>
      </c>
      <c r="G24" s="21">
        <f>$N$23/$N$24*E24</f>
        <v>23901.71248956885</v>
      </c>
      <c r="H24" s="22">
        <f>F24-G24</f>
        <v>0</v>
      </c>
      <c r="I24" s="23"/>
      <c r="J24" s="23"/>
      <c r="K24" s="24"/>
      <c r="L24" s="25"/>
      <c r="M24" s="205">
        <f>E33-E31</f>
        <v>14.379999999999999</v>
      </c>
      <c r="N24" s="205">
        <f>E33-E31</f>
        <v>14.379999999999999</v>
      </c>
      <c r="O24" s="14"/>
    </row>
    <row r="25" spans="2:16" ht="56.25">
      <c r="B25" s="26" t="s">
        <v>189</v>
      </c>
      <c r="C25" s="6" t="s">
        <v>205</v>
      </c>
      <c r="D25" s="19" t="s">
        <v>188</v>
      </c>
      <c r="E25" s="94">
        <v>0</v>
      </c>
      <c r="F25" s="20">
        <f t="shared" ref="F25:F32" si="0">$M$23/$M$24*E25</f>
        <v>0</v>
      </c>
      <c r="G25" s="21">
        <f t="shared" ref="G25:G30" si="1">$N$23/$N$24*E25</f>
        <v>0</v>
      </c>
      <c r="H25" s="22">
        <f t="shared" ref="H25:H30" si="2">F25-G25</f>
        <v>0</v>
      </c>
      <c r="I25" s="23"/>
      <c r="J25" s="23"/>
      <c r="K25" s="2"/>
      <c r="L25" s="8"/>
      <c r="M25" s="188"/>
      <c r="N25" s="188"/>
      <c r="O25" s="200"/>
      <c r="P25" s="125"/>
    </row>
    <row r="26" spans="2:16" ht="55.5" customHeight="1">
      <c r="B26" s="27" t="s">
        <v>171</v>
      </c>
      <c r="C26" s="6" t="s">
        <v>205</v>
      </c>
      <c r="D26" s="19" t="s">
        <v>188</v>
      </c>
      <c r="E26" s="94">
        <v>0.32</v>
      </c>
      <c r="F26" s="20">
        <f t="shared" si="0"/>
        <v>2451.4576912378307</v>
      </c>
      <c r="G26" s="21">
        <f t="shared" si="1"/>
        <v>2451.4576912378307</v>
      </c>
      <c r="H26" s="22">
        <f t="shared" si="2"/>
        <v>0</v>
      </c>
      <c r="I26" s="23"/>
      <c r="J26" s="23"/>
      <c r="L26" s="8"/>
      <c r="M26" s="193"/>
      <c r="N26" s="193"/>
      <c r="O26" s="8"/>
      <c r="P26" s="125"/>
    </row>
    <row r="27" spans="2:16" ht="29.25" customHeight="1">
      <c r="B27" s="27" t="s">
        <v>172</v>
      </c>
      <c r="C27" s="28" t="s">
        <v>190</v>
      </c>
      <c r="D27" s="19" t="s">
        <v>188</v>
      </c>
      <c r="E27" s="94">
        <v>0.57999999999999996</v>
      </c>
      <c r="F27" s="20">
        <f t="shared" si="0"/>
        <v>4443.2670653685682</v>
      </c>
      <c r="G27" s="21">
        <f t="shared" si="1"/>
        <v>4443.2670653685682</v>
      </c>
      <c r="H27" s="22">
        <f t="shared" si="2"/>
        <v>0</v>
      </c>
      <c r="I27" s="23"/>
      <c r="J27" s="23"/>
      <c r="L27" s="200"/>
      <c r="M27" s="188"/>
      <c r="N27" s="188"/>
      <c r="O27" s="200"/>
      <c r="P27" s="125"/>
    </row>
    <row r="28" spans="2:16" ht="51">
      <c r="B28" s="26" t="s">
        <v>179</v>
      </c>
      <c r="C28" s="29" t="s">
        <v>211</v>
      </c>
      <c r="D28" s="19" t="s">
        <v>188</v>
      </c>
      <c r="E28" s="94">
        <v>1.73</v>
      </c>
      <c r="F28" s="20">
        <f t="shared" si="0"/>
        <v>13253.193143254523</v>
      </c>
      <c r="G28" s="21">
        <f t="shared" si="1"/>
        <v>13253.193143254523</v>
      </c>
      <c r="H28" s="22">
        <f t="shared" si="2"/>
        <v>0</v>
      </c>
      <c r="I28" s="23"/>
      <c r="J28" s="23"/>
    </row>
    <row r="29" spans="2:16" ht="204">
      <c r="B29" s="26" t="s">
        <v>203</v>
      </c>
      <c r="C29" s="29" t="s">
        <v>191</v>
      </c>
      <c r="D29" s="19" t="s">
        <v>188</v>
      </c>
      <c r="E29" s="94">
        <v>7.43</v>
      </c>
      <c r="F29" s="20">
        <f t="shared" si="0"/>
        <v>56919.783268428379</v>
      </c>
      <c r="G29" s="21">
        <f t="shared" si="1"/>
        <v>56919.783268428379</v>
      </c>
      <c r="H29" s="22">
        <f t="shared" si="2"/>
        <v>0</v>
      </c>
      <c r="I29" s="23"/>
      <c r="J29" s="23"/>
      <c r="K29" s="2"/>
      <c r="L29" s="1"/>
      <c r="M29" s="186"/>
      <c r="N29" s="186"/>
    </row>
    <row r="30" spans="2:16" ht="106.5" customHeight="1">
      <c r="B30" s="26" t="s">
        <v>192</v>
      </c>
      <c r="C30" s="6" t="s">
        <v>205</v>
      </c>
      <c r="D30" s="19" t="s">
        <v>188</v>
      </c>
      <c r="E30" s="94">
        <v>0.22</v>
      </c>
      <c r="F30" s="20">
        <f t="shared" si="0"/>
        <v>1685.3771627260087</v>
      </c>
      <c r="G30" s="21">
        <f t="shared" si="1"/>
        <v>1685.3771627260087</v>
      </c>
      <c r="H30" s="22">
        <f t="shared" si="2"/>
        <v>0</v>
      </c>
      <c r="I30" s="23"/>
      <c r="J30" s="23"/>
    </row>
    <row r="31" spans="2:16" ht="56.25" customHeight="1">
      <c r="B31" s="27" t="s">
        <v>193</v>
      </c>
      <c r="C31" s="6" t="s">
        <v>205</v>
      </c>
      <c r="D31" s="19" t="s">
        <v>188</v>
      </c>
      <c r="E31" s="94">
        <v>4</v>
      </c>
      <c r="F31" s="20">
        <v>30643.22</v>
      </c>
      <c r="G31" s="4">
        <v>8756</v>
      </c>
      <c r="H31" s="22">
        <f>F31-G31</f>
        <v>21887.22</v>
      </c>
      <c r="I31" s="23"/>
      <c r="J31" s="23"/>
      <c r="L31" s="14"/>
    </row>
    <row r="32" spans="2:16" ht="16.5" thickBot="1">
      <c r="B32" s="64" t="s">
        <v>173</v>
      </c>
      <c r="C32" s="49" t="s">
        <v>191</v>
      </c>
      <c r="D32" s="50" t="s">
        <v>188</v>
      </c>
      <c r="E32" s="95">
        <v>0.98</v>
      </c>
      <c r="F32" s="20">
        <f t="shared" si="0"/>
        <v>7507.5891794158561</v>
      </c>
      <c r="G32" s="21">
        <f t="shared" ref="G32" si="3">$N$23/$N$24*E32</f>
        <v>7507.5891794158561</v>
      </c>
      <c r="H32" s="30">
        <f>F32-G32</f>
        <v>0</v>
      </c>
      <c r="I32" s="23"/>
      <c r="J32" s="23"/>
    </row>
    <row r="33" spans="2:14" ht="16.5" thickBot="1">
      <c r="B33" s="63" t="s">
        <v>177</v>
      </c>
      <c r="C33" s="52"/>
      <c r="D33" s="52"/>
      <c r="E33" s="96">
        <f>SUM(E24:E32)</f>
        <v>18.38</v>
      </c>
      <c r="F33" s="53">
        <f>SUM(F24:F32)</f>
        <v>140805.60000000003</v>
      </c>
      <c r="G33" s="54">
        <f>SUM(G24:G32)</f>
        <v>118918.38000000002</v>
      </c>
      <c r="H33" s="35">
        <f>SUM(H24:H32)</f>
        <v>21887.22</v>
      </c>
      <c r="I33" s="36"/>
      <c r="J33" s="36"/>
    </row>
    <row r="34" spans="2:14">
      <c r="B34" s="14"/>
      <c r="C34" s="14"/>
      <c r="D34" s="14"/>
      <c r="E34" s="82"/>
      <c r="F34" s="82"/>
      <c r="G34" s="82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1202738.7066219829</v>
      </c>
      <c r="D37" s="239"/>
      <c r="E37" s="263">
        <f>F24+F25+F26+F27+F28+F29+F30+F32+E16</f>
        <v>974515.09328633302</v>
      </c>
      <c r="F37" s="264"/>
      <c r="G37" s="263">
        <f>F31+G16</f>
        <v>228223.61333564974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1208058.3782626824</v>
      </c>
      <c r="D38" s="236"/>
      <c r="E38" s="235">
        <f>E17+110305.47</f>
        <v>982965.42666435021</v>
      </c>
      <c r="F38" s="236"/>
      <c r="G38" s="235">
        <f>G17+30683.03</f>
        <v>225092.95159833221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1233603.0899999999</v>
      </c>
      <c r="D39" s="270"/>
      <c r="E39" s="260">
        <f>G24+G25+G26+G27+G28+G29+G30+G32+E18</f>
        <v>974515.09</v>
      </c>
      <c r="F39" s="261"/>
      <c r="G39" s="260">
        <f>G31+G18</f>
        <v>259088</v>
      </c>
      <c r="H39" s="262"/>
      <c r="I39" s="222"/>
      <c r="J39" s="222"/>
      <c r="K39" s="41"/>
      <c r="L39" s="41"/>
    </row>
    <row r="40" spans="2:14" ht="36.75" customHeight="1" thickBot="1">
      <c r="B40" s="92" t="s">
        <v>275</v>
      </c>
      <c r="C40" s="249">
        <f>E40+G40</f>
        <v>-25544.711737317557</v>
      </c>
      <c r="D40" s="250"/>
      <c r="E40" s="251">
        <f>E38-E39</f>
        <v>8450.3366643502377</v>
      </c>
      <c r="F40" s="252"/>
      <c r="G40" s="251">
        <f>G38-G39</f>
        <v>-33995.048401667795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3"/>
    </row>
    <row r="48" spans="2:14" ht="9.75" customHeight="1">
      <c r="E48" s="220"/>
      <c r="H48" s="3"/>
    </row>
  </sheetData>
  <mergeCells count="54">
    <mergeCell ref="C17:D17"/>
    <mergeCell ref="C19:D19"/>
    <mergeCell ref="B1:H1"/>
    <mergeCell ref="B2:H3"/>
    <mergeCell ref="C16:D16"/>
    <mergeCell ref="D5:E5"/>
    <mergeCell ref="B14:H14"/>
    <mergeCell ref="E15:F15"/>
    <mergeCell ref="G15:H15"/>
    <mergeCell ref="E16:F16"/>
    <mergeCell ref="G16:H16"/>
    <mergeCell ref="E17:F17"/>
    <mergeCell ref="G17:H17"/>
    <mergeCell ref="C15:D15"/>
    <mergeCell ref="F45:G45"/>
    <mergeCell ref="E40:F40"/>
    <mergeCell ref="G40:H40"/>
    <mergeCell ref="F41:G41"/>
    <mergeCell ref="G37:H37"/>
    <mergeCell ref="E38:F38"/>
    <mergeCell ref="G38:H38"/>
    <mergeCell ref="E39:F39"/>
    <mergeCell ref="C41:E41"/>
    <mergeCell ref="C43:E43"/>
    <mergeCell ref="C45:E45"/>
    <mergeCell ref="N21:N22"/>
    <mergeCell ref="E18:F18"/>
    <mergeCell ref="G18:H18"/>
    <mergeCell ref="E19:F19"/>
    <mergeCell ref="G19:H19"/>
    <mergeCell ref="B21:H21"/>
    <mergeCell ref="B22:B23"/>
    <mergeCell ref="C22:C23"/>
    <mergeCell ref="D22:D23"/>
    <mergeCell ref="E22:E23"/>
    <mergeCell ref="F22:G22"/>
    <mergeCell ref="H22:H23"/>
    <mergeCell ref="C18:D18"/>
    <mergeCell ref="C47:E47"/>
    <mergeCell ref="M21:M22"/>
    <mergeCell ref="F47:G47"/>
    <mergeCell ref="F42:G42"/>
    <mergeCell ref="F43:G43"/>
    <mergeCell ref="F44:G44"/>
    <mergeCell ref="G39:H39"/>
    <mergeCell ref="C38:D38"/>
    <mergeCell ref="C39:D39"/>
    <mergeCell ref="C40:D40"/>
    <mergeCell ref="B35:H35"/>
    <mergeCell ref="E36:F36"/>
    <mergeCell ref="G36:H36"/>
    <mergeCell ref="E37:F37"/>
    <mergeCell ref="C36:D36"/>
    <mergeCell ref="C37:D37"/>
  </mergeCells>
  <pageMargins left="0.89" right="0.19685039370078741" top="0.19685039370078741" bottom="0.23622047244094491" header="0.15748031496062992" footer="0.25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Q56"/>
  <sheetViews>
    <sheetView topLeftCell="A31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28515625" style="3" customWidth="1"/>
    <col min="3" max="3" width="22" style="10" customWidth="1"/>
    <col min="4" max="4" width="8.7109375" style="78" customWidth="1"/>
    <col min="5" max="5" width="10.140625" style="78" customWidth="1"/>
    <col min="6" max="6" width="9.85546875" style="3" customWidth="1"/>
    <col min="7" max="7" width="10.28515625" style="3" customWidth="1"/>
    <col min="8" max="10" width="11" style="78" customWidth="1"/>
    <col min="11" max="11" width="12.5703125" style="3" customWidth="1"/>
    <col min="12" max="12" width="12.85546875" style="3" customWidth="1"/>
    <col min="13" max="13" width="17.5703125" style="185" customWidth="1"/>
    <col min="14" max="14" width="17.28515625" style="185" customWidth="1"/>
    <col min="15" max="17" width="9.140625" style="185"/>
    <col min="18" max="16384" width="9.140625" style="3"/>
  </cols>
  <sheetData>
    <row r="1" spans="2:10">
      <c r="B1" s="230" t="s">
        <v>196</v>
      </c>
      <c r="C1" s="230"/>
      <c r="D1" s="230"/>
      <c r="E1" s="230"/>
      <c r="F1" s="230"/>
      <c r="G1" s="230"/>
      <c r="H1" s="230"/>
      <c r="I1" s="215"/>
      <c r="J1" s="215"/>
    </row>
    <row r="2" spans="2:10" ht="19.5" customHeight="1">
      <c r="B2" s="231" t="s">
        <v>306</v>
      </c>
      <c r="C2" s="231"/>
      <c r="D2" s="231"/>
      <c r="E2" s="231"/>
      <c r="F2" s="231"/>
      <c r="G2" s="231"/>
      <c r="H2" s="231"/>
      <c r="I2" s="221"/>
      <c r="J2" s="221"/>
    </row>
    <row r="3" spans="2:10" ht="22.5" customHeight="1">
      <c r="B3" s="231"/>
      <c r="C3" s="231"/>
      <c r="D3" s="231"/>
      <c r="E3" s="231"/>
      <c r="F3" s="231"/>
      <c r="G3" s="231"/>
      <c r="H3" s="231"/>
      <c r="I3" s="221"/>
      <c r="J3" s="221"/>
    </row>
    <row r="4" spans="2:10" ht="8.25" customHeight="1">
      <c r="D4" s="232"/>
      <c r="E4" s="232"/>
    </row>
    <row r="5" spans="2:10">
      <c r="B5" s="8" t="s">
        <v>0</v>
      </c>
      <c r="C5" s="110"/>
      <c r="D5" s="233" t="s">
        <v>10</v>
      </c>
      <c r="E5" s="233"/>
    </row>
    <row r="6" spans="2:10">
      <c r="B6" s="8" t="s">
        <v>1</v>
      </c>
      <c r="C6" s="110"/>
      <c r="D6" s="217">
        <v>1962</v>
      </c>
      <c r="E6" s="217"/>
    </row>
    <row r="7" spans="2:10" hidden="1" outlineLevel="1">
      <c r="B7" s="8" t="s">
        <v>2</v>
      </c>
      <c r="C7" s="110"/>
      <c r="D7" s="113">
        <v>2</v>
      </c>
      <c r="E7" s="217"/>
    </row>
    <row r="8" spans="2:10" hidden="1" outlineLevel="1">
      <c r="B8" s="8" t="s">
        <v>3</v>
      </c>
      <c r="C8" s="110"/>
      <c r="D8" s="217">
        <v>16</v>
      </c>
      <c r="E8" s="217"/>
    </row>
    <row r="9" spans="2:10" ht="26.25" hidden="1" outlineLevel="1">
      <c r="B9" s="111" t="s">
        <v>4</v>
      </c>
      <c r="C9" s="112"/>
      <c r="D9" s="217" t="s">
        <v>11</v>
      </c>
      <c r="E9" s="217"/>
    </row>
    <row r="10" spans="2:10" collapsed="1">
      <c r="B10" s="8" t="s">
        <v>5</v>
      </c>
      <c r="C10" s="110"/>
      <c r="D10" s="217" t="s">
        <v>207</v>
      </c>
      <c r="E10" s="217"/>
    </row>
    <row r="11" spans="2:10" ht="35.25" hidden="1" customHeight="1" outlineLevel="1">
      <c r="B11" s="11" t="s">
        <v>7</v>
      </c>
      <c r="C11" s="12"/>
      <c r="D11" s="87" t="s">
        <v>13</v>
      </c>
      <c r="E11" s="216"/>
    </row>
    <row r="12" spans="2:10" ht="9" customHeight="1" collapsed="1">
      <c r="B12" s="11"/>
      <c r="C12" s="12"/>
      <c r="D12" s="87"/>
      <c r="E12" s="216"/>
    </row>
    <row r="13" spans="2:10" ht="16.5" thickBot="1">
      <c r="B13" s="234" t="s">
        <v>295</v>
      </c>
      <c r="C13" s="234"/>
      <c r="D13" s="234"/>
      <c r="E13" s="234"/>
      <c r="F13" s="234"/>
      <c r="G13" s="234"/>
      <c r="H13" s="234"/>
    </row>
    <row r="14" spans="2:10" ht="48" customHeight="1" thickBot="1">
      <c r="B14" s="202" t="s">
        <v>296</v>
      </c>
      <c r="C14" s="225" t="s">
        <v>194</v>
      </c>
      <c r="D14" s="226"/>
      <c r="E14" s="227" t="s">
        <v>8</v>
      </c>
      <c r="F14" s="228"/>
      <c r="G14" s="227" t="s">
        <v>9</v>
      </c>
      <c r="H14" s="229"/>
    </row>
    <row r="15" spans="2:10" ht="15.75" customHeight="1">
      <c r="B15" s="88" t="s">
        <v>14</v>
      </c>
      <c r="C15" s="238">
        <v>1303308.321107174</v>
      </c>
      <c r="D15" s="239"/>
      <c r="E15" s="238">
        <v>922503.83110717405</v>
      </c>
      <c r="F15" s="239"/>
      <c r="G15" s="238">
        <v>380804.48999999993</v>
      </c>
      <c r="H15" s="240"/>
    </row>
    <row r="16" spans="2:10" ht="15.75" customHeight="1">
      <c r="B16" s="89" t="s">
        <v>15</v>
      </c>
      <c r="C16" s="235">
        <v>1164806.3699999999</v>
      </c>
      <c r="D16" s="236"/>
      <c r="E16" s="235">
        <v>832216.07</v>
      </c>
      <c r="F16" s="236"/>
      <c r="G16" s="235">
        <v>332590.3</v>
      </c>
      <c r="H16" s="237"/>
    </row>
    <row r="17" spans="2:14" ht="15.75" customHeight="1">
      <c r="B17" s="90" t="s">
        <v>176</v>
      </c>
      <c r="C17" s="235">
        <v>1196786.83</v>
      </c>
      <c r="D17" s="236"/>
      <c r="E17" s="235">
        <v>922503.83</v>
      </c>
      <c r="F17" s="236"/>
      <c r="G17" s="235">
        <v>274283</v>
      </c>
      <c r="H17" s="237"/>
    </row>
    <row r="18" spans="2:14" ht="15.75" customHeight="1" thickBot="1">
      <c r="B18" s="91" t="s">
        <v>208</v>
      </c>
      <c r="C18" s="269">
        <v>32400</v>
      </c>
      <c r="D18" s="270"/>
      <c r="E18" s="269">
        <v>32400</v>
      </c>
      <c r="F18" s="270"/>
      <c r="G18" s="269">
        <v>0</v>
      </c>
      <c r="H18" s="271"/>
    </row>
    <row r="19" spans="2:14" ht="30" customHeight="1" thickBot="1">
      <c r="B19" s="92" t="s">
        <v>274</v>
      </c>
      <c r="C19" s="249">
        <v>3340.7836463823915</v>
      </c>
      <c r="D19" s="250"/>
      <c r="E19" s="251">
        <v>-41297.716353617609</v>
      </c>
      <c r="F19" s="252"/>
      <c r="G19" s="251">
        <v>44638.5</v>
      </c>
      <c r="H19" s="253"/>
    </row>
    <row r="20" spans="2:14" ht="12" customHeight="1">
      <c r="M20" s="203"/>
      <c r="N20" s="203"/>
    </row>
    <row r="21" spans="2:14" ht="20.2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27.7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140249.32999999999</v>
      </c>
      <c r="N23" s="204">
        <f>M23</f>
        <v>140249.32999999999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3.8</v>
      </c>
      <c r="F24" s="20">
        <f>$M$23/$M$24*E24</f>
        <v>26475.283358171873</v>
      </c>
      <c r="G24" s="21">
        <f>$N$23/$N$24*E24</f>
        <v>26475.283358171873</v>
      </c>
      <c r="H24" s="22">
        <f>F24-G24</f>
        <v>0</v>
      </c>
      <c r="I24" s="23"/>
      <c r="J24" s="23"/>
      <c r="K24" s="24"/>
      <c r="L24" s="25"/>
      <c r="M24" s="205">
        <f>E33-E31</f>
        <v>20.130000000000003</v>
      </c>
      <c r="N24" s="205">
        <f>E33-E31</f>
        <v>20.130000000000003</v>
      </c>
    </row>
    <row r="25" spans="2:14" ht="56.25">
      <c r="B25" s="26" t="s">
        <v>189</v>
      </c>
      <c r="C25" s="6" t="s">
        <v>205</v>
      </c>
      <c r="D25" s="19" t="s">
        <v>188</v>
      </c>
      <c r="E25" s="94">
        <v>4.2</v>
      </c>
      <c r="F25" s="20">
        <f>$M$23/$M$24*E25</f>
        <v>29262.155290611023</v>
      </c>
      <c r="G25" s="21">
        <f>$N$23/$N$24*E25</f>
        <v>29262.155290611023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2.5" customHeight="1">
      <c r="B26" s="27" t="s">
        <v>171</v>
      </c>
      <c r="C26" s="6" t="s">
        <v>205</v>
      </c>
      <c r="D26" s="19" t="s">
        <v>188</v>
      </c>
      <c r="E26" s="94">
        <v>0.32</v>
      </c>
      <c r="F26" s="20">
        <f t="shared" ref="F26:F32" si="1">$M$23/$M$24*E26</f>
        <v>2229.4975459513157</v>
      </c>
      <c r="G26" s="21">
        <f t="shared" ref="G26:G29" si="2">$N$23/$N$24*E26</f>
        <v>2229.4975459513157</v>
      </c>
      <c r="H26" s="22">
        <f t="shared" si="0"/>
        <v>0</v>
      </c>
      <c r="I26" s="23"/>
      <c r="J26" s="23"/>
      <c r="L26" s="14"/>
    </row>
    <row r="27" spans="2:14" ht="25.5">
      <c r="B27" s="27" t="s">
        <v>172</v>
      </c>
      <c r="C27" s="28" t="s">
        <v>190</v>
      </c>
      <c r="D27" s="19" t="s">
        <v>188</v>
      </c>
      <c r="E27" s="94">
        <v>0.7</v>
      </c>
      <c r="F27" s="20">
        <f t="shared" si="1"/>
        <v>4877.0258817685035</v>
      </c>
      <c r="G27" s="21">
        <f t="shared" si="2"/>
        <v>4877.0258817685035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206</v>
      </c>
      <c r="D28" s="19" t="s">
        <v>188</v>
      </c>
      <c r="E28" s="94">
        <v>2</v>
      </c>
      <c r="F28" s="20">
        <f t="shared" si="1"/>
        <v>13934.359662195724</v>
      </c>
      <c r="G28" s="21">
        <f t="shared" si="2"/>
        <v>13934.359662195724</v>
      </c>
      <c r="H28" s="22">
        <f t="shared" si="0"/>
        <v>0</v>
      </c>
      <c r="I28" s="23"/>
      <c r="J28" s="23"/>
    </row>
    <row r="29" spans="2:14" ht="217.5" customHeight="1">
      <c r="B29" s="26" t="s">
        <v>276</v>
      </c>
      <c r="C29" s="29" t="s">
        <v>191</v>
      </c>
      <c r="D29" s="19" t="s">
        <v>188</v>
      </c>
      <c r="E29" s="94">
        <v>7.5</v>
      </c>
      <c r="F29" s="20">
        <f t="shared" si="1"/>
        <v>52253.848733233965</v>
      </c>
      <c r="G29" s="21">
        <f t="shared" si="2"/>
        <v>52253.848733233965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08.75" customHeight="1">
      <c r="B30" s="26" t="s">
        <v>192</v>
      </c>
      <c r="C30" s="6" t="s">
        <v>205</v>
      </c>
      <c r="D30" s="19" t="s">
        <v>188</v>
      </c>
      <c r="E30" s="94">
        <v>0.35</v>
      </c>
      <c r="F30" s="20">
        <f t="shared" si="1"/>
        <v>2438.5129408842517</v>
      </c>
      <c r="G30" s="21">
        <f t="shared" ref="G30" si="3">$N$23/$N$24*E30</f>
        <v>2438.5129408842517</v>
      </c>
      <c r="H30" s="22">
        <f t="shared" si="0"/>
        <v>0</v>
      </c>
      <c r="I30" s="23"/>
      <c r="J30" s="23"/>
    </row>
    <row r="31" spans="2:14" ht="56.25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37518.43</v>
      </c>
      <c r="G31" s="4">
        <v>16665</v>
      </c>
      <c r="H31" s="22">
        <f>F31-G31</f>
        <v>20853.43</v>
      </c>
      <c r="I31" s="23"/>
      <c r="J31" s="23"/>
      <c r="L31" s="14"/>
    </row>
    <row r="32" spans="2:14" ht="16.5" thickBot="1">
      <c r="B32" s="64" t="s">
        <v>173</v>
      </c>
      <c r="C32" s="77" t="s">
        <v>191</v>
      </c>
      <c r="D32" s="50" t="s">
        <v>188</v>
      </c>
      <c r="E32" s="95">
        <v>1.26</v>
      </c>
      <c r="F32" s="20">
        <f t="shared" si="1"/>
        <v>8778.6465871833061</v>
      </c>
      <c r="G32" s="21">
        <f t="shared" ref="G32" si="4">$N$23/$N$24*E32</f>
        <v>8778.6465871833061</v>
      </c>
      <c r="H32" s="30">
        <f>F32-G32</f>
        <v>0</v>
      </c>
      <c r="I32" s="23"/>
      <c r="J32" s="23"/>
    </row>
    <row r="33" spans="2:14" ht="16.5" thickBot="1">
      <c r="B33" s="51" t="s">
        <v>177</v>
      </c>
      <c r="C33" s="52"/>
      <c r="D33" s="52"/>
      <c r="E33" s="96">
        <f>SUM(E24:E32)</f>
        <v>24.98</v>
      </c>
      <c r="F33" s="53">
        <f>SUM(F24:F32)</f>
        <v>177767.75999999995</v>
      </c>
      <c r="G33" s="54">
        <f>SUM(G24:G32)</f>
        <v>156914.32999999996</v>
      </c>
      <c r="H33" s="35">
        <f>SUM(H24:H32)</f>
        <v>20853.43</v>
      </c>
      <c r="I33" s="36"/>
      <c r="J33" s="36"/>
    </row>
    <row r="34" spans="2:14">
      <c r="B34" s="14"/>
      <c r="C34" s="14"/>
      <c r="D34" s="14"/>
      <c r="E34" s="82"/>
      <c r="F34" s="82"/>
      <c r="G34" s="82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1481076.081107174</v>
      </c>
      <c r="D37" s="239"/>
      <c r="E37" s="263">
        <f>F24+F25+F26+F27+F28+F29+F30+F32+E15</f>
        <v>1062753.1611071741</v>
      </c>
      <c r="F37" s="264"/>
      <c r="G37" s="263">
        <f>F31+G15</f>
        <v>418322.91999999993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1301708.31</v>
      </c>
      <c r="D38" s="236"/>
      <c r="E38" s="235">
        <f>E16+108008.36</f>
        <v>940224.42999999993</v>
      </c>
      <c r="F38" s="236"/>
      <c r="G38" s="235">
        <f>G16+28893.58</f>
        <v>361483.88</v>
      </c>
      <c r="H38" s="237"/>
      <c r="I38" s="222"/>
      <c r="J38" s="222"/>
      <c r="K38" s="9"/>
      <c r="L38" s="7"/>
      <c r="M38" s="188"/>
    </row>
    <row r="39" spans="2:14">
      <c r="B39" s="90" t="s">
        <v>176</v>
      </c>
      <c r="C39" s="235">
        <f>E39+G39</f>
        <v>1353701.16</v>
      </c>
      <c r="D39" s="236"/>
      <c r="E39" s="260">
        <f>G24+G25+G26+G27+G28+G29+G30+G32+E17</f>
        <v>1062753.1599999999</v>
      </c>
      <c r="F39" s="261"/>
      <c r="G39" s="260">
        <f>G31+G17</f>
        <v>290948</v>
      </c>
      <c r="H39" s="262"/>
      <c r="I39" s="222"/>
      <c r="J39" s="222"/>
      <c r="K39" s="41"/>
      <c r="L39" s="41"/>
    </row>
    <row r="40" spans="2:14" ht="16.5" thickBot="1">
      <c r="B40" s="91" t="s">
        <v>208</v>
      </c>
      <c r="C40" s="269">
        <f>E40+G40</f>
        <v>36000</v>
      </c>
      <c r="D40" s="270"/>
      <c r="E40" s="269">
        <f>E18+3600</f>
        <v>36000</v>
      </c>
      <c r="F40" s="270"/>
      <c r="G40" s="269">
        <f>G18</f>
        <v>0</v>
      </c>
      <c r="H40" s="271"/>
      <c r="I40" s="222"/>
      <c r="J40" s="222"/>
      <c r="K40" s="41"/>
      <c r="L40" s="41"/>
    </row>
    <row r="41" spans="2:14" ht="31.5" customHeight="1" thickBot="1">
      <c r="B41" s="92" t="s">
        <v>275</v>
      </c>
      <c r="C41" s="249">
        <f>E41+G41</f>
        <v>-15992.849999999977</v>
      </c>
      <c r="D41" s="250"/>
      <c r="E41" s="251">
        <f>E38+E40-E39</f>
        <v>-86528.729999999981</v>
      </c>
      <c r="F41" s="252"/>
      <c r="G41" s="251">
        <f>G38-G39</f>
        <v>70535.88</v>
      </c>
      <c r="H41" s="253"/>
      <c r="I41" s="222"/>
      <c r="J41" s="222"/>
      <c r="K41" s="41"/>
      <c r="L41" s="41"/>
    </row>
    <row r="42" spans="2:14" ht="12" customHeight="1">
      <c r="B42" s="79"/>
      <c r="C42" s="100"/>
      <c r="D42" s="100"/>
      <c r="E42" s="101"/>
      <c r="F42" s="81"/>
      <c r="G42" s="81"/>
      <c r="H42" s="81"/>
      <c r="I42" s="222"/>
      <c r="J42" s="222"/>
      <c r="K42" s="41"/>
      <c r="L42" s="41"/>
    </row>
    <row r="43" spans="2:14" ht="18.7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10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3"/>
      <c r="I49" s="3"/>
      <c r="J49" s="3"/>
    </row>
    <row r="50" spans="2:10" ht="9" customHeight="1">
      <c r="B50" s="46"/>
      <c r="C50" s="46"/>
      <c r="D50" s="46"/>
      <c r="E50" s="220"/>
      <c r="F50" s="268"/>
      <c r="G50" s="268"/>
      <c r="H50" s="3"/>
      <c r="I50" s="3"/>
      <c r="J50" s="3"/>
    </row>
    <row r="51" spans="2:10">
      <c r="B51" s="46"/>
      <c r="C51" s="46"/>
      <c r="D51" s="83"/>
      <c r="E51" s="83"/>
      <c r="F51" s="84"/>
      <c r="G51" s="84"/>
      <c r="H51" s="3"/>
      <c r="I51" s="3"/>
      <c r="J51" s="3"/>
    </row>
    <row r="52" spans="2:10">
      <c r="C52" s="82"/>
      <c r="H52" s="3"/>
      <c r="I52" s="3"/>
      <c r="J52" s="3"/>
    </row>
    <row r="53" spans="2:10">
      <c r="C53" s="82"/>
      <c r="H53" s="3"/>
      <c r="I53" s="3"/>
      <c r="J53" s="3"/>
    </row>
    <row r="54" spans="2:10">
      <c r="C54" s="82"/>
      <c r="H54" s="3"/>
      <c r="I54" s="3"/>
      <c r="J54" s="3"/>
    </row>
    <row r="55" spans="2:10">
      <c r="C55" s="82"/>
      <c r="H55" s="3"/>
      <c r="I55" s="3"/>
      <c r="J55" s="3"/>
    </row>
    <row r="56" spans="2:10">
      <c r="C56" s="82"/>
      <c r="H56" s="3"/>
      <c r="I56" s="3"/>
      <c r="J56" s="3"/>
    </row>
  </sheetData>
  <mergeCells count="62">
    <mergeCell ref="C45:E45"/>
    <mergeCell ref="C47:E47"/>
    <mergeCell ref="C49:E49"/>
    <mergeCell ref="C14:D14"/>
    <mergeCell ref="C15:D15"/>
    <mergeCell ref="C16:D16"/>
    <mergeCell ref="E19:F19"/>
    <mergeCell ref="F43:G43"/>
    <mergeCell ref="E38:F38"/>
    <mergeCell ref="G38:H38"/>
    <mergeCell ref="E39:F39"/>
    <mergeCell ref="G39:H39"/>
    <mergeCell ref="E40:F40"/>
    <mergeCell ref="G40:H40"/>
    <mergeCell ref="E41:F41"/>
    <mergeCell ref="G41:H41"/>
    <mergeCell ref="G19:H19"/>
    <mergeCell ref="E18:F18"/>
    <mergeCell ref="G18:H18"/>
    <mergeCell ref="E15:F15"/>
    <mergeCell ref="G15:H15"/>
    <mergeCell ref="E16:F16"/>
    <mergeCell ref="G16:H16"/>
    <mergeCell ref="G17:H17"/>
    <mergeCell ref="C43:E43"/>
    <mergeCell ref="B1:H1"/>
    <mergeCell ref="D5:E5"/>
    <mergeCell ref="B21:H21"/>
    <mergeCell ref="B22:B23"/>
    <mergeCell ref="C22:C23"/>
    <mergeCell ref="D22:D23"/>
    <mergeCell ref="E22:E23"/>
    <mergeCell ref="F22:G22"/>
    <mergeCell ref="H22:H23"/>
    <mergeCell ref="B2:H3"/>
    <mergeCell ref="D4:E4"/>
    <mergeCell ref="E14:F14"/>
    <mergeCell ref="G14:H14"/>
    <mergeCell ref="B13:H13"/>
    <mergeCell ref="E17:F17"/>
    <mergeCell ref="F50:G50"/>
    <mergeCell ref="F47:G47"/>
    <mergeCell ref="F49:G49"/>
    <mergeCell ref="F44:G44"/>
    <mergeCell ref="F45:G45"/>
    <mergeCell ref="F46:G46"/>
    <mergeCell ref="C41:D41"/>
    <mergeCell ref="C36:D36"/>
    <mergeCell ref="M21:M22"/>
    <mergeCell ref="N21:N22"/>
    <mergeCell ref="C17:D17"/>
    <mergeCell ref="C18:D18"/>
    <mergeCell ref="C19:D19"/>
    <mergeCell ref="C37:D37"/>
    <mergeCell ref="C38:D38"/>
    <mergeCell ref="B35:H35"/>
    <mergeCell ref="E36:F36"/>
    <mergeCell ref="G36:H36"/>
    <mergeCell ref="E37:F37"/>
    <mergeCell ref="G37:H37"/>
    <mergeCell ref="C39:D39"/>
    <mergeCell ref="C40:D40"/>
  </mergeCells>
  <pageMargins left="0.48" right="0.19685039370078741" top="0.37" bottom="0.23622047244094491" header="0.4" footer="0.25"/>
  <pageSetup paperSize="9" scale="45" orientation="portrait" horizontalDpi="180" verticalDpi="180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9"/>
  <sheetViews>
    <sheetView tabSelected="1" zoomScale="110" zoomScaleNormal="110" workbookViewId="0">
      <selection activeCell="F31" sqref="F31"/>
    </sheetView>
  </sheetViews>
  <sheetFormatPr defaultColWidth="9.140625" defaultRowHeight="15.75" outlineLevelRow="1"/>
  <cols>
    <col min="1" max="1" width="2.85546875" style="3" customWidth="1"/>
    <col min="2" max="2" width="55.85546875" style="3" customWidth="1"/>
    <col min="3" max="3" width="16" style="82" customWidth="1"/>
    <col min="4" max="4" width="9.42578125" style="78" customWidth="1"/>
    <col min="5" max="5" width="10" style="78" customWidth="1"/>
    <col min="6" max="6" width="9.7109375" style="3" customWidth="1"/>
    <col min="7" max="7" width="10.42578125" style="3" customWidth="1"/>
    <col min="8" max="8" width="10.7109375" style="78" customWidth="1"/>
    <col min="9" max="9" width="10.7109375" style="3" bestFit="1" customWidth="1"/>
    <col min="10" max="10" width="11.7109375" style="3" customWidth="1"/>
    <col min="11" max="11" width="9.140625" style="125"/>
    <col min="12" max="12" width="12.140625" style="125" customWidth="1"/>
    <col min="13" max="13" width="17.140625" style="185" customWidth="1"/>
    <col min="14" max="14" width="17.5703125" style="185" customWidth="1"/>
    <col min="15" max="17" width="9.140625" style="185"/>
    <col min="18" max="16384" width="9.140625" style="3"/>
  </cols>
  <sheetData>
    <row r="1" spans="1:10">
      <c r="B1" s="230" t="s">
        <v>197</v>
      </c>
      <c r="C1" s="230"/>
      <c r="D1" s="230"/>
      <c r="E1" s="230"/>
      <c r="F1" s="230"/>
      <c r="G1" s="230"/>
      <c r="H1" s="230"/>
    </row>
    <row r="2" spans="1:10">
      <c r="B2" s="230" t="s">
        <v>198</v>
      </c>
      <c r="C2" s="230"/>
      <c r="D2" s="230"/>
      <c r="E2" s="230"/>
      <c r="F2" s="230"/>
      <c r="G2" s="230"/>
      <c r="H2" s="230"/>
    </row>
    <row r="3" spans="1:10">
      <c r="B3" s="230" t="s">
        <v>281</v>
      </c>
      <c r="C3" s="230"/>
      <c r="D3" s="230"/>
      <c r="E3" s="230"/>
      <c r="F3" s="230"/>
      <c r="G3" s="230"/>
      <c r="H3" s="230"/>
    </row>
    <row r="4" spans="1:10">
      <c r="B4" s="230" t="s">
        <v>300</v>
      </c>
      <c r="C4" s="230"/>
      <c r="D4" s="230"/>
      <c r="E4" s="230"/>
      <c r="F4" s="230"/>
      <c r="G4" s="230"/>
      <c r="H4" s="230"/>
    </row>
    <row r="5" spans="1:10" ht="22.5" customHeight="1">
      <c r="A5" s="56"/>
      <c r="B5" s="231" t="s">
        <v>301</v>
      </c>
      <c r="C5" s="231"/>
      <c r="D5" s="231"/>
      <c r="E5" s="231"/>
      <c r="F5" s="231"/>
      <c r="G5" s="231"/>
      <c r="H5" s="231"/>
      <c r="I5" s="56"/>
      <c r="J5" s="56"/>
    </row>
    <row r="6" spans="1:10" ht="13.5" customHeight="1">
      <c r="B6" s="231"/>
      <c r="C6" s="231"/>
      <c r="D6" s="231"/>
      <c r="E6" s="231"/>
      <c r="F6" s="231"/>
      <c r="G6" s="231"/>
      <c r="H6" s="231"/>
    </row>
    <row r="7" spans="1:10" ht="13.5" customHeight="1">
      <c r="B7" s="210"/>
      <c r="C7" s="210"/>
      <c r="D7" s="210"/>
      <c r="E7" s="210"/>
      <c r="F7" s="210"/>
      <c r="G7" s="210"/>
      <c r="H7" s="210"/>
    </row>
    <row r="8" spans="1:10">
      <c r="B8" s="103" t="s">
        <v>0</v>
      </c>
      <c r="C8" s="104"/>
      <c r="D8" s="294" t="s">
        <v>280</v>
      </c>
      <c r="E8" s="294"/>
    </row>
    <row r="9" spans="1:10">
      <c r="B9" s="103" t="s">
        <v>1</v>
      </c>
      <c r="C9" s="104"/>
      <c r="D9" s="212">
        <v>1977</v>
      </c>
      <c r="E9" s="212"/>
    </row>
    <row r="10" spans="1:10" ht="15.75" hidden="1" customHeight="1" outlineLevel="1">
      <c r="B10" s="103" t="s">
        <v>2</v>
      </c>
      <c r="C10" s="104"/>
      <c r="D10" s="212">
        <v>5</v>
      </c>
      <c r="E10" s="212"/>
    </row>
    <row r="11" spans="1:10" ht="15.75" hidden="1" customHeight="1" outlineLevel="1">
      <c r="B11" s="103" t="s">
        <v>3</v>
      </c>
      <c r="C11" s="104"/>
      <c r="D11" s="212">
        <v>56</v>
      </c>
      <c r="E11" s="212"/>
    </row>
    <row r="12" spans="1:10" ht="30.75" hidden="1" customHeight="1" outlineLevel="1">
      <c r="B12" s="105" t="s">
        <v>4</v>
      </c>
      <c r="C12" s="106"/>
      <c r="D12" s="212" t="s">
        <v>67</v>
      </c>
      <c r="E12" s="212"/>
    </row>
    <row r="13" spans="1:10" collapsed="1">
      <c r="B13" s="103" t="s">
        <v>5</v>
      </c>
      <c r="C13" s="104"/>
      <c r="D13" s="212" t="s">
        <v>228</v>
      </c>
      <c r="E13" s="212"/>
      <c r="I13" s="14"/>
    </row>
    <row r="14" spans="1:10" ht="15.75" hidden="1" customHeight="1" outlineLevel="1">
      <c r="B14" s="3" t="s">
        <v>6</v>
      </c>
      <c r="D14" s="211" t="s">
        <v>269</v>
      </c>
      <c r="E14" s="211"/>
    </row>
    <row r="15" spans="1:10" ht="30.75" hidden="1" customHeight="1" outlineLevel="1">
      <c r="B15" s="11" t="s">
        <v>7</v>
      </c>
      <c r="C15" s="55"/>
      <c r="D15" s="87" t="s">
        <v>68</v>
      </c>
      <c r="E15" s="211"/>
      <c r="I15" s="14"/>
    </row>
    <row r="16" spans="1:10" ht="10.5" customHeight="1" collapsed="1">
      <c r="B16" s="11"/>
      <c r="C16" s="55"/>
      <c r="D16" s="87"/>
      <c r="E16" s="211"/>
      <c r="I16" s="14"/>
    </row>
    <row r="17" spans="2:14" ht="16.5" thickBot="1">
      <c r="B17" s="234" t="s">
        <v>295</v>
      </c>
      <c r="C17" s="234"/>
      <c r="D17" s="234"/>
      <c r="E17" s="234"/>
      <c r="F17" s="234"/>
      <c r="G17" s="234"/>
      <c r="H17" s="234"/>
      <c r="I17" s="14"/>
    </row>
    <row r="18" spans="2:14" ht="43.5" customHeight="1" thickBot="1">
      <c r="B18" s="202" t="s">
        <v>296</v>
      </c>
      <c r="C18" s="225" t="s">
        <v>194</v>
      </c>
      <c r="D18" s="226"/>
      <c r="E18" s="227" t="s">
        <v>8</v>
      </c>
      <c r="F18" s="228"/>
      <c r="G18" s="227" t="s">
        <v>9</v>
      </c>
      <c r="H18" s="229"/>
      <c r="I18" s="14"/>
    </row>
    <row r="19" spans="2:14">
      <c r="B19" s="88" t="s">
        <v>14</v>
      </c>
      <c r="C19" s="238">
        <v>6591365.2741081109</v>
      </c>
      <c r="D19" s="273"/>
      <c r="E19" s="263">
        <v>4822219.3135109385</v>
      </c>
      <c r="F19" s="264"/>
      <c r="G19" s="263">
        <v>1769145.9605971724</v>
      </c>
      <c r="H19" s="265"/>
      <c r="I19" s="14"/>
    </row>
    <row r="20" spans="2:14">
      <c r="B20" s="89" t="s">
        <v>15</v>
      </c>
      <c r="C20" s="235">
        <v>6539220.450932432</v>
      </c>
      <c r="D20" s="298"/>
      <c r="E20" s="235">
        <v>4822106.7075038608</v>
      </c>
      <c r="F20" s="236"/>
      <c r="G20" s="235">
        <v>1717113.7434285714</v>
      </c>
      <c r="H20" s="237"/>
      <c r="I20" s="14"/>
    </row>
    <row r="21" spans="2:14">
      <c r="B21" s="90" t="s">
        <v>176</v>
      </c>
      <c r="C21" s="260">
        <v>6194408.8423999995</v>
      </c>
      <c r="D21" s="299"/>
      <c r="E21" s="260">
        <v>4825749.8423999995</v>
      </c>
      <c r="F21" s="261"/>
      <c r="G21" s="260">
        <v>1368659</v>
      </c>
      <c r="H21" s="262"/>
      <c r="I21" s="14"/>
    </row>
    <row r="22" spans="2:14" ht="16.5" thickBot="1">
      <c r="B22" s="91" t="s">
        <v>208</v>
      </c>
      <c r="C22" s="260">
        <v>32400</v>
      </c>
      <c r="D22" s="299"/>
      <c r="E22" s="269">
        <v>32400</v>
      </c>
      <c r="F22" s="270"/>
      <c r="G22" s="269">
        <v>0</v>
      </c>
      <c r="H22" s="271"/>
      <c r="I22" s="14"/>
    </row>
    <row r="23" spans="2:14" ht="32.25" customHeight="1" thickBot="1">
      <c r="B23" s="92" t="s">
        <v>274</v>
      </c>
      <c r="C23" s="249">
        <f>E23+G23</f>
        <v>377211.6085324327</v>
      </c>
      <c r="D23" s="250"/>
      <c r="E23" s="251">
        <f>E20+E22-E21</f>
        <v>28756.865103861317</v>
      </c>
      <c r="F23" s="252"/>
      <c r="G23" s="251">
        <f>G20-G21</f>
        <v>348454.74342857138</v>
      </c>
      <c r="H23" s="253"/>
      <c r="I23" s="14"/>
    </row>
    <row r="24" spans="2:14">
      <c r="B24" s="11"/>
      <c r="C24" s="61"/>
      <c r="D24" s="87"/>
      <c r="E24" s="211"/>
      <c r="F24" s="78"/>
      <c r="I24" s="14"/>
    </row>
    <row r="25" spans="2:14" ht="29.25" customHeight="1" thickBot="1">
      <c r="B25" s="295" t="s">
        <v>302</v>
      </c>
      <c r="C25" s="295"/>
      <c r="D25" s="295"/>
      <c r="E25" s="295"/>
      <c r="F25" s="295"/>
      <c r="G25" s="295"/>
      <c r="H25" s="295"/>
      <c r="L25" s="131"/>
      <c r="M25" s="241" t="s">
        <v>278</v>
      </c>
      <c r="N25" s="241" t="s">
        <v>279</v>
      </c>
    </row>
    <row r="26" spans="2:14" ht="35.25" customHeight="1">
      <c r="B26" s="296" t="s">
        <v>183</v>
      </c>
      <c r="C26" s="290" t="s">
        <v>184</v>
      </c>
      <c r="D26" s="290" t="s">
        <v>292</v>
      </c>
      <c r="E26" s="247" t="s">
        <v>303</v>
      </c>
      <c r="F26" s="292" t="s">
        <v>186</v>
      </c>
      <c r="G26" s="293"/>
      <c r="H26" s="257" t="s">
        <v>209</v>
      </c>
      <c r="L26" s="131"/>
      <c r="M26" s="242"/>
      <c r="N26" s="242"/>
    </row>
    <row r="27" spans="2:14" ht="40.5" customHeight="1" thickBot="1">
      <c r="B27" s="297"/>
      <c r="C27" s="291"/>
      <c r="D27" s="291"/>
      <c r="E27" s="248"/>
      <c r="F27" s="16" t="s">
        <v>174</v>
      </c>
      <c r="G27" s="17" t="s">
        <v>175</v>
      </c>
      <c r="H27" s="258"/>
      <c r="M27" s="205">
        <v>592373.4</v>
      </c>
      <c r="N27" s="205">
        <f>M27</f>
        <v>592373.4</v>
      </c>
    </row>
    <row r="28" spans="2:14" ht="55.5" customHeight="1">
      <c r="B28" s="18" t="s">
        <v>178</v>
      </c>
      <c r="C28" s="29" t="s">
        <v>187</v>
      </c>
      <c r="D28" s="19" t="s">
        <v>188</v>
      </c>
      <c r="E28" s="93">
        <v>1.82</v>
      </c>
      <c r="F28" s="20">
        <f>$M$27/$M$28*E28</f>
        <v>74921.444614315493</v>
      </c>
      <c r="G28" s="21">
        <f>$N$27/$N$28*E28</f>
        <v>74921.444614315493</v>
      </c>
      <c r="H28" s="22">
        <f>F28-G28</f>
        <v>0</v>
      </c>
      <c r="I28" s="23"/>
      <c r="J28" s="24"/>
      <c r="K28" s="148"/>
      <c r="L28" s="149"/>
      <c r="M28" s="205">
        <f>E38-E35</f>
        <v>14.39</v>
      </c>
      <c r="N28" s="205">
        <f>M28</f>
        <v>14.39</v>
      </c>
    </row>
    <row r="29" spans="2:14" ht="51">
      <c r="B29" s="26" t="s">
        <v>189</v>
      </c>
      <c r="C29" s="29" t="s">
        <v>187</v>
      </c>
      <c r="D29" s="19" t="s">
        <v>188</v>
      </c>
      <c r="E29" s="94">
        <v>1.97</v>
      </c>
      <c r="F29" s="20">
        <f t="shared" ref="F29:F37" si="0">$M$27/$M$28*E29</f>
        <v>81096.288950660179</v>
      </c>
      <c r="G29" s="21">
        <f t="shared" ref="G29:G34" si="1">$N$27/$N$28*E29</f>
        <v>81096.288950660179</v>
      </c>
      <c r="H29" s="22">
        <f t="shared" ref="H29:H34" si="2">F29-G29</f>
        <v>0</v>
      </c>
      <c r="I29" s="58"/>
      <c r="J29" s="2"/>
      <c r="K29" s="154"/>
      <c r="L29" s="127"/>
      <c r="M29" s="188"/>
      <c r="N29" s="188"/>
    </row>
    <row r="30" spans="2:14" ht="50.25" customHeight="1">
      <c r="B30" s="27" t="s">
        <v>171</v>
      </c>
      <c r="C30" s="29" t="s">
        <v>187</v>
      </c>
      <c r="D30" s="19" t="s">
        <v>188</v>
      </c>
      <c r="E30" s="94">
        <v>0.32</v>
      </c>
      <c r="F30" s="20">
        <f t="shared" si="0"/>
        <v>13173.00125086866</v>
      </c>
      <c r="G30" s="21">
        <f t="shared" si="1"/>
        <v>13173.00125086866</v>
      </c>
      <c r="H30" s="22">
        <f t="shared" si="2"/>
        <v>0</v>
      </c>
      <c r="I30" s="41"/>
      <c r="L30" s="127"/>
      <c r="M30" s="193"/>
      <c r="N30" s="193"/>
    </row>
    <row r="31" spans="2:14" ht="25.5">
      <c r="B31" s="27" t="s">
        <v>172</v>
      </c>
      <c r="C31" s="28" t="s">
        <v>190</v>
      </c>
      <c r="D31" s="19" t="s">
        <v>188</v>
      </c>
      <c r="E31" s="94">
        <v>0.57999999999999996</v>
      </c>
      <c r="F31" s="20">
        <f t="shared" si="0"/>
        <v>23876.064767199441</v>
      </c>
      <c r="G31" s="21">
        <f t="shared" si="1"/>
        <v>23876.064767199441</v>
      </c>
      <c r="H31" s="22">
        <f t="shared" si="2"/>
        <v>0</v>
      </c>
      <c r="I31" s="41"/>
      <c r="L31" s="197"/>
      <c r="M31" s="188"/>
      <c r="N31" s="188"/>
    </row>
    <row r="32" spans="2:14" ht="51">
      <c r="B32" s="26" t="s">
        <v>179</v>
      </c>
      <c r="C32" s="29" t="s">
        <v>187</v>
      </c>
      <c r="D32" s="19" t="s">
        <v>188</v>
      </c>
      <c r="E32" s="94">
        <v>1.38</v>
      </c>
      <c r="F32" s="20">
        <f t="shared" si="0"/>
        <v>56808.567894371088</v>
      </c>
      <c r="G32" s="21">
        <f t="shared" si="1"/>
        <v>56808.567894371088</v>
      </c>
      <c r="H32" s="22">
        <f t="shared" si="2"/>
        <v>0</v>
      </c>
      <c r="I32" s="41"/>
    </row>
    <row r="33" spans="2:14" ht="216" customHeight="1">
      <c r="B33" s="26" t="s">
        <v>203</v>
      </c>
      <c r="C33" s="29" t="s">
        <v>191</v>
      </c>
      <c r="D33" s="19" t="s">
        <v>188</v>
      </c>
      <c r="E33" s="94">
        <v>6.54</v>
      </c>
      <c r="F33" s="20">
        <f t="shared" si="0"/>
        <v>269223.21306462819</v>
      </c>
      <c r="G33" s="21">
        <f t="shared" si="1"/>
        <v>269223.21306462819</v>
      </c>
      <c r="H33" s="22">
        <f t="shared" si="2"/>
        <v>0</v>
      </c>
      <c r="I33" s="58"/>
      <c r="J33" s="2"/>
      <c r="K33" s="154"/>
      <c r="L33" s="159"/>
      <c r="M33" s="186"/>
      <c r="N33" s="186"/>
    </row>
    <row r="34" spans="2:14" ht="102">
      <c r="B34" s="26" t="s">
        <v>192</v>
      </c>
      <c r="C34" s="29" t="s">
        <v>187</v>
      </c>
      <c r="D34" s="19" t="s">
        <v>188</v>
      </c>
      <c r="E34" s="94">
        <v>0.28000000000000003</v>
      </c>
      <c r="F34" s="20">
        <f t="shared" si="0"/>
        <v>11526.376094510077</v>
      </c>
      <c r="G34" s="21">
        <f t="shared" si="1"/>
        <v>11526.376094510077</v>
      </c>
      <c r="H34" s="22">
        <f t="shared" si="2"/>
        <v>0</v>
      </c>
      <c r="I34" s="41"/>
    </row>
    <row r="35" spans="2:14" ht="50.25" customHeight="1">
      <c r="B35" s="27" t="s">
        <v>193</v>
      </c>
      <c r="C35" s="29" t="s">
        <v>187</v>
      </c>
      <c r="D35" s="19" t="s">
        <v>188</v>
      </c>
      <c r="E35" s="94">
        <v>5.2</v>
      </c>
      <c r="F35" s="20">
        <v>214061.27</v>
      </c>
      <c r="G35" s="4">
        <v>229061</v>
      </c>
      <c r="H35" s="22">
        <f>F35-G35</f>
        <v>-14999.73000000001</v>
      </c>
      <c r="I35" s="41" t="s">
        <v>297</v>
      </c>
      <c r="L35" s="131"/>
    </row>
    <row r="36" spans="2:14">
      <c r="B36" s="27" t="s">
        <v>180</v>
      </c>
      <c r="C36" s="28" t="s">
        <v>190</v>
      </c>
      <c r="D36" s="19" t="s">
        <v>188</v>
      </c>
      <c r="E36" s="94">
        <v>0.5</v>
      </c>
      <c r="F36" s="20">
        <f t="shared" si="0"/>
        <v>20582.814454482279</v>
      </c>
      <c r="G36" s="21">
        <f t="shared" ref="G36:G37" si="3">$N$27/$N$28*E36</f>
        <v>20582.814454482279</v>
      </c>
      <c r="H36" s="68">
        <f>F36-G36</f>
        <v>0</v>
      </c>
      <c r="I36" s="41"/>
      <c r="J36" s="69"/>
      <c r="K36" s="199"/>
      <c r="L36" s="131"/>
    </row>
    <row r="37" spans="2:14" ht="16.5" thickBot="1">
      <c r="B37" s="48" t="s">
        <v>173</v>
      </c>
      <c r="C37" s="49" t="s">
        <v>191</v>
      </c>
      <c r="D37" s="50" t="s">
        <v>188</v>
      </c>
      <c r="E37" s="98">
        <v>1</v>
      </c>
      <c r="F37" s="20">
        <f t="shared" si="0"/>
        <v>41165.628908964558</v>
      </c>
      <c r="G37" s="21">
        <f t="shared" si="3"/>
        <v>41165.628908964558</v>
      </c>
      <c r="H37" s="30">
        <f>F37-G37</f>
        <v>0</v>
      </c>
      <c r="I37" s="41"/>
    </row>
    <row r="38" spans="2:14" ht="16.5" thickBot="1">
      <c r="B38" s="51" t="s">
        <v>177</v>
      </c>
      <c r="C38" s="52"/>
      <c r="D38" s="52"/>
      <c r="E38" s="96">
        <f>SUM(E28:E37)</f>
        <v>19.59</v>
      </c>
      <c r="F38" s="53">
        <f>SUM(F28:F37)</f>
        <v>806434.67</v>
      </c>
      <c r="G38" s="54">
        <f>SUM(G28:G37)</f>
        <v>821434.4</v>
      </c>
      <c r="H38" s="35">
        <f>SUM(H28:H37)</f>
        <v>-14999.73000000001</v>
      </c>
      <c r="I38" s="41">
        <v>19.59</v>
      </c>
      <c r="J38" s="14">
        <f>I38-E38</f>
        <v>0</v>
      </c>
    </row>
    <row r="39" spans="2:14">
      <c r="B39" s="14"/>
      <c r="C39" s="14"/>
      <c r="D39" s="14"/>
      <c r="E39" s="82"/>
      <c r="F39" s="114"/>
      <c r="G39" s="104"/>
    </row>
    <row r="40" spans="2:14" ht="16.5" customHeight="1" thickBot="1">
      <c r="B40" s="234" t="s">
        <v>304</v>
      </c>
      <c r="C40" s="234"/>
      <c r="D40" s="234"/>
      <c r="E40" s="234"/>
      <c r="F40" s="234"/>
      <c r="G40" s="234"/>
      <c r="H40" s="234"/>
      <c r="I40" s="70"/>
      <c r="J40" s="70"/>
    </row>
    <row r="41" spans="2:14" ht="51" customHeight="1" thickBot="1">
      <c r="B41" s="202" t="s">
        <v>305</v>
      </c>
      <c r="C41" s="225" t="s">
        <v>194</v>
      </c>
      <c r="D41" s="226"/>
      <c r="E41" s="227" t="s">
        <v>8</v>
      </c>
      <c r="F41" s="228"/>
      <c r="G41" s="227" t="s">
        <v>9</v>
      </c>
      <c r="H41" s="229"/>
      <c r="I41" s="71"/>
      <c r="J41" s="72"/>
      <c r="K41" s="175"/>
      <c r="L41" s="176"/>
      <c r="M41" s="187"/>
      <c r="N41" s="187"/>
    </row>
    <row r="42" spans="2:14">
      <c r="B42" s="88" t="s">
        <v>14</v>
      </c>
      <c r="C42" s="238">
        <f>E42+G42</f>
        <v>7397799.9441081118</v>
      </c>
      <c r="D42" s="239"/>
      <c r="E42" s="263">
        <f>F28+F29+F30+F31+F32+F33+F34+F36+F37+E19</f>
        <v>5414592.7135109389</v>
      </c>
      <c r="F42" s="264"/>
      <c r="G42" s="263">
        <f>F35+G19</f>
        <v>1983207.2305971724</v>
      </c>
      <c r="H42" s="265"/>
      <c r="I42" s="73"/>
      <c r="J42" s="74"/>
      <c r="K42" s="179"/>
      <c r="L42" s="179"/>
      <c r="M42" s="188"/>
    </row>
    <row r="43" spans="2:14">
      <c r="B43" s="89" t="s">
        <v>15</v>
      </c>
      <c r="C43" s="235">
        <f>E43+G43</f>
        <v>7387876.9309324324</v>
      </c>
      <c r="D43" s="236"/>
      <c r="E43" s="235">
        <f>E20+598635.45</f>
        <v>5420742.157503861</v>
      </c>
      <c r="F43" s="236"/>
      <c r="G43" s="235">
        <f>G20+250021.03</f>
        <v>1967134.7734285714</v>
      </c>
      <c r="H43" s="237"/>
      <c r="I43" s="73"/>
      <c r="J43" s="74"/>
      <c r="K43" s="180"/>
      <c r="L43" s="179"/>
      <c r="M43" s="188"/>
    </row>
    <row r="44" spans="2:14">
      <c r="B44" s="90" t="s">
        <v>176</v>
      </c>
      <c r="C44" s="235">
        <f>E44+G44</f>
        <v>7015843.2423999999</v>
      </c>
      <c r="D44" s="236"/>
      <c r="E44" s="260">
        <f>G28+G29+G30+G31+G32+G33+G34+G36+G37+E21</f>
        <v>5418123.2423999999</v>
      </c>
      <c r="F44" s="261"/>
      <c r="G44" s="260">
        <f>G35+G21</f>
        <v>1597720</v>
      </c>
      <c r="H44" s="262"/>
      <c r="I44" s="73"/>
      <c r="J44" s="74"/>
      <c r="K44" s="156"/>
      <c r="L44" s="156"/>
    </row>
    <row r="45" spans="2:14" ht="16.5" thickBot="1">
      <c r="B45" s="91" t="s">
        <v>208</v>
      </c>
      <c r="C45" s="269">
        <f>E45+G45</f>
        <v>36000</v>
      </c>
      <c r="D45" s="270"/>
      <c r="E45" s="269">
        <f>E22+3600</f>
        <v>36000</v>
      </c>
      <c r="F45" s="270"/>
      <c r="G45" s="269">
        <v>0</v>
      </c>
      <c r="H45" s="271"/>
      <c r="I45" s="73"/>
      <c r="J45" s="74"/>
      <c r="K45" s="156"/>
      <c r="L45" s="156"/>
    </row>
    <row r="46" spans="2:14" ht="28.5" customHeight="1" thickBot="1">
      <c r="B46" s="92" t="s">
        <v>275</v>
      </c>
      <c r="C46" s="249">
        <f>E46+G46</f>
        <v>408033.68853243254</v>
      </c>
      <c r="D46" s="250"/>
      <c r="E46" s="251">
        <f>E43+E45-E44</f>
        <v>38618.915103861131</v>
      </c>
      <c r="F46" s="252"/>
      <c r="G46" s="251">
        <f>G43-G44</f>
        <v>369414.77342857141</v>
      </c>
      <c r="H46" s="253"/>
      <c r="I46" s="73"/>
      <c r="J46" s="74"/>
      <c r="K46" s="156"/>
      <c r="L46" s="156"/>
    </row>
    <row r="47" spans="2:14" ht="35.25" customHeight="1">
      <c r="B47" s="208" t="s">
        <v>167</v>
      </c>
      <c r="C47" s="266" t="s">
        <v>284</v>
      </c>
      <c r="D47" s="266"/>
      <c r="E47" s="266"/>
      <c r="F47" s="267" t="s">
        <v>293</v>
      </c>
      <c r="G47" s="267"/>
      <c r="H47" s="75"/>
      <c r="I47" s="75"/>
      <c r="J47" s="2"/>
      <c r="K47" s="154"/>
      <c r="L47" s="154"/>
      <c r="M47" s="186"/>
      <c r="N47" s="186"/>
    </row>
    <row r="48" spans="2:14" ht="10.5" customHeight="1">
      <c r="B48" s="208"/>
      <c r="C48" s="208"/>
      <c r="D48" s="208"/>
      <c r="E48" s="209"/>
      <c r="F48" s="259"/>
      <c r="G48" s="259"/>
      <c r="H48" s="75"/>
      <c r="I48" s="75"/>
      <c r="J48" s="2"/>
      <c r="K48" s="154"/>
      <c r="L48" s="154"/>
      <c r="M48" s="186"/>
      <c r="N48" s="186"/>
    </row>
    <row r="49" spans="2:14">
      <c r="B49" s="208" t="s">
        <v>168</v>
      </c>
      <c r="C49" s="266" t="s">
        <v>284</v>
      </c>
      <c r="D49" s="266"/>
      <c r="E49" s="266"/>
      <c r="F49" s="267" t="s">
        <v>195</v>
      </c>
      <c r="G49" s="267"/>
      <c r="H49" s="75"/>
      <c r="I49" s="75"/>
      <c r="J49" s="2"/>
      <c r="K49" s="154"/>
      <c r="L49" s="154"/>
      <c r="M49" s="186"/>
      <c r="N49" s="186"/>
    </row>
    <row r="50" spans="2:14" ht="8.25" customHeight="1">
      <c r="B50" s="208"/>
      <c r="C50" s="208"/>
      <c r="D50" s="208"/>
      <c r="E50" s="209"/>
      <c r="F50" s="267"/>
      <c r="G50" s="267"/>
      <c r="H50" s="75"/>
      <c r="I50" s="75"/>
    </row>
    <row r="51" spans="2:14">
      <c r="B51" s="208" t="s">
        <v>169</v>
      </c>
      <c r="C51" s="266" t="s">
        <v>284</v>
      </c>
      <c r="D51" s="266"/>
      <c r="E51" s="266"/>
      <c r="F51" s="267" t="s">
        <v>294</v>
      </c>
      <c r="G51" s="267"/>
      <c r="H51" s="75"/>
      <c r="I51" s="75"/>
    </row>
    <row r="52" spans="2:14" ht="10.5" customHeight="1">
      <c r="B52" s="42"/>
      <c r="C52" s="42"/>
      <c r="D52" s="42"/>
      <c r="E52" s="209"/>
      <c r="F52" s="43"/>
      <c r="G52" s="44"/>
      <c r="H52" s="45"/>
      <c r="I52" s="8"/>
    </row>
    <row r="53" spans="2:14">
      <c r="B53" s="208" t="s">
        <v>170</v>
      </c>
      <c r="C53" s="266" t="s">
        <v>284</v>
      </c>
      <c r="D53" s="266"/>
      <c r="E53" s="266"/>
      <c r="F53" s="267" t="s">
        <v>294</v>
      </c>
      <c r="G53" s="267"/>
      <c r="H53" s="75"/>
      <c r="I53" s="75"/>
    </row>
    <row r="54" spans="2:14" ht="12" customHeight="1">
      <c r="B54" s="46"/>
      <c r="C54" s="46"/>
      <c r="D54" s="46"/>
      <c r="E54" s="209"/>
      <c r="F54" s="268"/>
      <c r="G54" s="268"/>
      <c r="I54" s="78"/>
    </row>
    <row r="55" spans="2:14">
      <c r="B55" s="46"/>
      <c r="C55" s="46"/>
      <c r="D55" s="83"/>
      <c r="E55" s="83"/>
      <c r="F55" s="84"/>
      <c r="G55" s="84"/>
    </row>
    <row r="56" spans="2:14">
      <c r="C56" s="10"/>
      <c r="D56" s="82"/>
      <c r="H56" s="3"/>
    </row>
    <row r="57" spans="2:14">
      <c r="C57" s="10"/>
      <c r="D57" s="82"/>
      <c r="H57" s="3"/>
    </row>
    <row r="58" spans="2:14">
      <c r="C58" s="10"/>
      <c r="H58" s="3"/>
    </row>
    <row r="59" spans="2:14">
      <c r="C59" s="10"/>
      <c r="H59" s="3"/>
    </row>
  </sheetData>
  <mergeCells count="64">
    <mergeCell ref="C20:D20"/>
    <mergeCell ref="C21:D21"/>
    <mergeCell ref="C22:D22"/>
    <mergeCell ref="C45:D45"/>
    <mergeCell ref="C46:D46"/>
    <mergeCell ref="C23:D23"/>
    <mergeCell ref="C41:D41"/>
    <mergeCell ref="C42:D42"/>
    <mergeCell ref="C43:D43"/>
    <mergeCell ref="C44:D44"/>
    <mergeCell ref="B5:H6"/>
    <mergeCell ref="B17:H17"/>
    <mergeCell ref="E18:F18"/>
    <mergeCell ref="G18:H18"/>
    <mergeCell ref="E19:F19"/>
    <mergeCell ref="C18:D18"/>
    <mergeCell ref="C19:D19"/>
    <mergeCell ref="B1:H1"/>
    <mergeCell ref="B40:H40"/>
    <mergeCell ref="D26:D27"/>
    <mergeCell ref="E26:E27"/>
    <mergeCell ref="F26:G26"/>
    <mergeCell ref="H26:H27"/>
    <mergeCell ref="E20:F20"/>
    <mergeCell ref="G20:H20"/>
    <mergeCell ref="E21:F21"/>
    <mergeCell ref="G21:H21"/>
    <mergeCell ref="B2:H2"/>
    <mergeCell ref="B3:H3"/>
    <mergeCell ref="B4:H4"/>
    <mergeCell ref="D8:E8"/>
    <mergeCell ref="B25:H25"/>
    <mergeCell ref="B26:B27"/>
    <mergeCell ref="F54:G54"/>
    <mergeCell ref="F51:G51"/>
    <mergeCell ref="F53:G53"/>
    <mergeCell ref="G19:H19"/>
    <mergeCell ref="F48:G48"/>
    <mergeCell ref="F47:G47"/>
    <mergeCell ref="E43:F43"/>
    <mergeCell ref="G43:H43"/>
    <mergeCell ref="E44:F44"/>
    <mergeCell ref="G44:H44"/>
    <mergeCell ref="E46:F46"/>
    <mergeCell ref="G46:H46"/>
    <mergeCell ref="E45:F45"/>
    <mergeCell ref="G45:H45"/>
    <mergeCell ref="E42:F42"/>
    <mergeCell ref="G42:H42"/>
    <mergeCell ref="N25:N26"/>
    <mergeCell ref="E22:F22"/>
    <mergeCell ref="G22:H22"/>
    <mergeCell ref="E23:F23"/>
    <mergeCell ref="G23:H23"/>
    <mergeCell ref="C47:E47"/>
    <mergeCell ref="C49:E49"/>
    <mergeCell ref="C51:E51"/>
    <mergeCell ref="C53:E53"/>
    <mergeCell ref="M25:M26"/>
    <mergeCell ref="F49:G49"/>
    <mergeCell ref="F50:G50"/>
    <mergeCell ref="E41:F41"/>
    <mergeCell ref="G41:H41"/>
    <mergeCell ref="C26:C27"/>
  </mergeCells>
  <printOptions horizontalCentered="1"/>
  <pageMargins left="0.35433070866141736" right="0.19685039370078741" top="0.15748031496062992" bottom="0.23622047244094491" header="0.31496062992125984" footer="0.23622047244094491"/>
  <pageSetup paperSize="9" scale="4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8"/>
  <sheetViews>
    <sheetView topLeftCell="B22" zoomScale="110" zoomScaleNormal="110" workbookViewId="0">
      <selection activeCell="F31" sqref="F31"/>
    </sheetView>
  </sheetViews>
  <sheetFormatPr defaultColWidth="9.140625" defaultRowHeight="15.75" outlineLevelRow="1"/>
  <cols>
    <col min="1" max="1" width="2.85546875" style="3" customWidth="1"/>
    <col min="2" max="2" width="55.85546875" style="3" customWidth="1"/>
    <col min="3" max="3" width="12.140625" style="82" customWidth="1"/>
    <col min="4" max="4" width="8.7109375" style="78" customWidth="1"/>
    <col min="5" max="5" width="10.28515625" style="78" customWidth="1"/>
    <col min="6" max="7" width="10.28515625" style="3" customWidth="1"/>
    <col min="8" max="8" width="11" style="78" customWidth="1"/>
    <col min="9" max="9" width="11.140625" style="3" bestFit="1" customWidth="1"/>
    <col min="10" max="10" width="11.7109375" style="3" customWidth="1"/>
    <col min="11" max="11" width="9.140625" style="125"/>
    <col min="12" max="12" width="12.42578125" style="125" customWidth="1"/>
    <col min="13" max="13" width="16.7109375" style="185" customWidth="1"/>
    <col min="14" max="14" width="17" style="185" customWidth="1"/>
    <col min="15" max="16" width="9.140625" style="125"/>
    <col min="17" max="16384" width="9.140625" style="3"/>
  </cols>
  <sheetData>
    <row r="1" spans="1:10">
      <c r="B1" s="230" t="s">
        <v>197</v>
      </c>
      <c r="C1" s="230"/>
      <c r="D1" s="230"/>
      <c r="E1" s="230"/>
      <c r="F1" s="230"/>
      <c r="G1" s="230"/>
      <c r="H1" s="230"/>
      <c r="I1" s="46"/>
      <c r="J1" s="46"/>
    </row>
    <row r="2" spans="1:10">
      <c r="B2" s="230" t="s">
        <v>198</v>
      </c>
      <c r="C2" s="230"/>
      <c r="D2" s="230"/>
      <c r="E2" s="230"/>
      <c r="F2" s="230"/>
      <c r="G2" s="230"/>
      <c r="H2" s="230"/>
      <c r="I2" s="46"/>
      <c r="J2" s="46"/>
    </row>
    <row r="3" spans="1:10">
      <c r="B3" s="230" t="s">
        <v>282</v>
      </c>
      <c r="C3" s="230"/>
      <c r="D3" s="230"/>
      <c r="E3" s="230"/>
      <c r="F3" s="230"/>
      <c r="G3" s="230"/>
      <c r="H3" s="230"/>
      <c r="I3" s="46"/>
      <c r="J3" s="46"/>
    </row>
    <row r="4" spans="1:10">
      <c r="B4" s="230" t="s">
        <v>300</v>
      </c>
      <c r="C4" s="230"/>
      <c r="D4" s="230"/>
      <c r="E4" s="230"/>
      <c r="F4" s="230"/>
      <c r="G4" s="230"/>
      <c r="H4" s="230"/>
      <c r="I4" s="46"/>
      <c r="J4" s="46"/>
    </row>
    <row r="5" spans="1:10" ht="30" customHeight="1">
      <c r="A5" s="56"/>
      <c r="B5" s="231" t="s">
        <v>301</v>
      </c>
      <c r="C5" s="231"/>
      <c r="D5" s="231"/>
      <c r="E5" s="231"/>
      <c r="F5" s="231"/>
      <c r="G5" s="231"/>
      <c r="H5" s="231"/>
    </row>
    <row r="6" spans="1:10" ht="8.25" customHeight="1">
      <c r="B6" s="231"/>
      <c r="C6" s="231"/>
      <c r="D6" s="231"/>
      <c r="E6" s="231"/>
      <c r="F6" s="231"/>
      <c r="G6" s="231"/>
      <c r="H6" s="231"/>
    </row>
    <row r="7" spans="1:10" ht="8.25" customHeight="1">
      <c r="B7" s="210"/>
      <c r="C7" s="210"/>
      <c r="D7" s="210"/>
      <c r="E7" s="210"/>
      <c r="F7" s="210"/>
      <c r="G7" s="210"/>
      <c r="H7" s="210"/>
    </row>
    <row r="8" spans="1:10">
      <c r="B8" s="103" t="s">
        <v>0</v>
      </c>
      <c r="C8" s="104"/>
      <c r="D8" s="294" t="s">
        <v>199</v>
      </c>
      <c r="E8" s="294"/>
      <c r="F8" s="103"/>
    </row>
    <row r="9" spans="1:10">
      <c r="B9" s="103" t="s">
        <v>1</v>
      </c>
      <c r="C9" s="104"/>
      <c r="D9" s="212">
        <v>1978</v>
      </c>
      <c r="E9" s="212"/>
      <c r="F9" s="103"/>
    </row>
    <row r="10" spans="1:10" ht="15.75" hidden="1" customHeight="1" outlineLevel="1">
      <c r="B10" s="103" t="s">
        <v>2</v>
      </c>
      <c r="C10" s="104"/>
      <c r="D10" s="212">
        <v>5</v>
      </c>
      <c r="E10" s="212"/>
      <c r="F10" s="103"/>
    </row>
    <row r="11" spans="1:10" ht="15.75" hidden="1" customHeight="1" outlineLevel="1">
      <c r="B11" s="103" t="s">
        <v>3</v>
      </c>
      <c r="C11" s="104"/>
      <c r="D11" s="212">
        <v>56</v>
      </c>
      <c r="E11" s="212"/>
      <c r="F11" s="103"/>
    </row>
    <row r="12" spans="1:10" ht="30.75" hidden="1" customHeight="1" outlineLevel="1">
      <c r="B12" s="105" t="s">
        <v>4</v>
      </c>
      <c r="C12" s="106"/>
      <c r="D12" s="212" t="s">
        <v>69</v>
      </c>
      <c r="E12" s="212"/>
      <c r="F12" s="103"/>
    </row>
    <row r="13" spans="1:10" collapsed="1">
      <c r="B13" s="103" t="s">
        <v>5</v>
      </c>
      <c r="C13" s="104"/>
      <c r="D13" s="212" t="s">
        <v>229</v>
      </c>
      <c r="E13" s="212"/>
      <c r="F13" s="103"/>
      <c r="I13" s="14"/>
    </row>
    <row r="14" spans="1:10" ht="15.75" hidden="1" customHeight="1" outlineLevel="1">
      <c r="B14" s="3" t="s">
        <v>6</v>
      </c>
      <c r="D14" s="211" t="s">
        <v>270</v>
      </c>
      <c r="E14" s="211"/>
    </row>
    <row r="15" spans="1:10" ht="30.75" hidden="1" customHeight="1" outlineLevel="1">
      <c r="B15" s="11" t="s">
        <v>7</v>
      </c>
      <c r="C15" s="55"/>
      <c r="D15" s="87" t="s">
        <v>70</v>
      </c>
      <c r="E15" s="211"/>
      <c r="I15" s="14"/>
    </row>
    <row r="16" spans="1:10" ht="12" customHeight="1" collapsed="1">
      <c r="B16" s="11"/>
      <c r="C16" s="55"/>
      <c r="D16" s="87"/>
      <c r="E16" s="211"/>
      <c r="I16" s="14"/>
    </row>
    <row r="17" spans="2:14" ht="16.5" thickBot="1">
      <c r="B17" s="234" t="s">
        <v>295</v>
      </c>
      <c r="C17" s="234"/>
      <c r="D17" s="234"/>
      <c r="E17" s="234"/>
      <c r="F17" s="234"/>
      <c r="G17" s="234"/>
      <c r="H17" s="234"/>
      <c r="I17" s="14"/>
    </row>
    <row r="18" spans="2:14" ht="46.5" customHeight="1" thickBot="1">
      <c r="B18" s="202" t="s">
        <v>296</v>
      </c>
      <c r="C18" s="225" t="s">
        <v>194</v>
      </c>
      <c r="D18" s="226"/>
      <c r="E18" s="227" t="s">
        <v>8</v>
      </c>
      <c r="F18" s="228"/>
      <c r="G18" s="227" t="s">
        <v>9</v>
      </c>
      <c r="H18" s="229"/>
      <c r="I18" s="14"/>
    </row>
    <row r="19" spans="2:14">
      <c r="B19" s="88" t="s">
        <v>14</v>
      </c>
      <c r="C19" s="238">
        <v>6133991.0667415699</v>
      </c>
      <c r="D19" s="273"/>
      <c r="E19" s="263">
        <v>4008194.5842964249</v>
      </c>
      <c r="F19" s="264"/>
      <c r="G19" s="263">
        <v>2125796.482445145</v>
      </c>
      <c r="H19" s="265"/>
      <c r="I19" s="14"/>
    </row>
    <row r="20" spans="2:14">
      <c r="B20" s="89" t="s">
        <v>15</v>
      </c>
      <c r="C20" s="235">
        <v>5605396.8199999994</v>
      </c>
      <c r="D20" s="298"/>
      <c r="E20" s="235">
        <v>3668578.5207426636</v>
      </c>
      <c r="F20" s="236"/>
      <c r="G20" s="235">
        <v>1936818.2992573355</v>
      </c>
      <c r="H20" s="237"/>
      <c r="I20" s="14"/>
    </row>
    <row r="21" spans="2:14">
      <c r="B21" s="90" t="s">
        <v>176</v>
      </c>
      <c r="C21" s="260">
        <v>5477606.5397809092</v>
      </c>
      <c r="D21" s="299"/>
      <c r="E21" s="260">
        <v>3949254.5397809092</v>
      </c>
      <c r="F21" s="261"/>
      <c r="G21" s="260">
        <v>1528352</v>
      </c>
      <c r="H21" s="262"/>
      <c r="I21" s="14"/>
    </row>
    <row r="22" spans="2:14" ht="16.5" thickBot="1">
      <c r="B22" s="91" t="s">
        <v>208</v>
      </c>
      <c r="C22" s="260">
        <v>32400</v>
      </c>
      <c r="D22" s="299"/>
      <c r="E22" s="269">
        <v>32400</v>
      </c>
      <c r="F22" s="270"/>
      <c r="G22" s="269">
        <v>0</v>
      </c>
      <c r="H22" s="271"/>
      <c r="I22" s="14"/>
    </row>
    <row r="23" spans="2:14" ht="36.75" thickBot="1">
      <c r="B23" s="92" t="s">
        <v>274</v>
      </c>
      <c r="C23" s="249">
        <f>E23+G23</f>
        <v>160190.28021908994</v>
      </c>
      <c r="D23" s="250"/>
      <c r="E23" s="251">
        <f>E20+E22-E21</f>
        <v>-248276.01903824555</v>
      </c>
      <c r="F23" s="252"/>
      <c r="G23" s="251">
        <f>G20-G21</f>
        <v>408466.29925733549</v>
      </c>
      <c r="H23" s="253"/>
      <c r="I23" s="14"/>
    </row>
    <row r="24" spans="2:14">
      <c r="B24" s="11"/>
      <c r="C24" s="61"/>
      <c r="D24" s="87"/>
      <c r="E24" s="211"/>
      <c r="F24" s="78"/>
      <c r="I24" s="14"/>
    </row>
    <row r="25" spans="2:14" ht="30" customHeight="1" thickBot="1">
      <c r="B25" s="295" t="s">
        <v>302</v>
      </c>
      <c r="C25" s="295"/>
      <c r="D25" s="295"/>
      <c r="E25" s="295"/>
      <c r="F25" s="295"/>
      <c r="G25" s="295"/>
      <c r="H25" s="295"/>
      <c r="L25" s="131"/>
      <c r="M25" s="241" t="s">
        <v>278</v>
      </c>
      <c r="N25" s="241" t="s">
        <v>279</v>
      </c>
    </row>
    <row r="26" spans="2:14" ht="27" customHeight="1">
      <c r="B26" s="296" t="s">
        <v>183</v>
      </c>
      <c r="C26" s="290" t="s">
        <v>184</v>
      </c>
      <c r="D26" s="290" t="s">
        <v>292</v>
      </c>
      <c r="E26" s="247" t="s">
        <v>303</v>
      </c>
      <c r="F26" s="292" t="s">
        <v>186</v>
      </c>
      <c r="G26" s="293"/>
      <c r="H26" s="257" t="s">
        <v>209</v>
      </c>
      <c r="L26" s="131"/>
      <c r="M26" s="242"/>
      <c r="N26" s="242"/>
    </row>
    <row r="27" spans="2:14" ht="49.5" customHeight="1" thickBot="1">
      <c r="B27" s="297"/>
      <c r="C27" s="291"/>
      <c r="D27" s="291"/>
      <c r="E27" s="248"/>
      <c r="F27" s="16" t="s">
        <v>174</v>
      </c>
      <c r="G27" s="17" t="s">
        <v>175</v>
      </c>
      <c r="H27" s="258"/>
      <c r="M27" s="205">
        <v>574382.03</v>
      </c>
      <c r="N27" s="205">
        <f>M27</f>
        <v>574382.03</v>
      </c>
    </row>
    <row r="28" spans="2:14" ht="49.5" customHeight="1">
      <c r="B28" s="18" t="s">
        <v>178</v>
      </c>
      <c r="C28" s="29" t="s">
        <v>187</v>
      </c>
      <c r="D28" s="19" t="s">
        <v>188</v>
      </c>
      <c r="E28" s="93">
        <v>1.82</v>
      </c>
      <c r="F28" s="20">
        <f>$M$27/$M$28*E28</f>
        <v>74456.929814814823</v>
      </c>
      <c r="G28" s="21">
        <f>$N$27/$N$28*E28</f>
        <v>74456.929814814823</v>
      </c>
      <c r="H28" s="22">
        <f>F28-G28</f>
        <v>0</v>
      </c>
      <c r="I28" s="23"/>
      <c r="J28" s="24"/>
      <c r="K28" s="148"/>
      <c r="L28" s="149"/>
      <c r="M28" s="205">
        <f>E37-E35</f>
        <v>14.04</v>
      </c>
      <c r="N28" s="205">
        <f>M28</f>
        <v>14.04</v>
      </c>
    </row>
    <row r="29" spans="2:14" ht="51">
      <c r="B29" s="26" t="s">
        <v>189</v>
      </c>
      <c r="C29" s="29" t="s">
        <v>187</v>
      </c>
      <c r="D29" s="19" t="s">
        <v>188</v>
      </c>
      <c r="E29" s="94">
        <v>1.71</v>
      </c>
      <c r="F29" s="20">
        <f t="shared" ref="F29:F36" si="0">$M$27/$M$28*E29</f>
        <v>69956.785705128219</v>
      </c>
      <c r="G29" s="21">
        <f t="shared" ref="G29:G34" si="1">$N$27/$N$28*E29</f>
        <v>69956.785705128219</v>
      </c>
      <c r="H29" s="22">
        <f t="shared" ref="H29:H34" si="2">F29-G29</f>
        <v>0</v>
      </c>
      <c r="I29" s="58"/>
      <c r="J29" s="2"/>
      <c r="K29" s="154"/>
      <c r="L29" s="127"/>
      <c r="M29" s="188"/>
      <c r="N29" s="188"/>
    </row>
    <row r="30" spans="2:14" ht="50.25" customHeight="1">
      <c r="B30" s="27" t="s">
        <v>171</v>
      </c>
      <c r="C30" s="29" t="s">
        <v>187</v>
      </c>
      <c r="D30" s="19" t="s">
        <v>188</v>
      </c>
      <c r="E30" s="94">
        <v>0.32</v>
      </c>
      <c r="F30" s="20">
        <f t="shared" si="0"/>
        <v>13091.328319088321</v>
      </c>
      <c r="G30" s="21">
        <f t="shared" si="1"/>
        <v>13091.328319088321</v>
      </c>
      <c r="H30" s="22">
        <f t="shared" si="2"/>
        <v>0</v>
      </c>
      <c r="I30" s="41"/>
      <c r="L30" s="127"/>
      <c r="M30" s="193"/>
      <c r="N30" s="188"/>
    </row>
    <row r="31" spans="2:14" ht="25.5">
      <c r="B31" s="27" t="s">
        <v>172</v>
      </c>
      <c r="C31" s="28" t="s">
        <v>190</v>
      </c>
      <c r="D31" s="19" t="s">
        <v>188</v>
      </c>
      <c r="E31" s="94">
        <v>0.57999999999999996</v>
      </c>
      <c r="F31" s="20">
        <f t="shared" si="0"/>
        <v>23728.032578347578</v>
      </c>
      <c r="G31" s="21">
        <f t="shared" si="1"/>
        <v>23728.032578347578</v>
      </c>
      <c r="H31" s="22">
        <f t="shared" si="2"/>
        <v>0</v>
      </c>
      <c r="I31" s="41"/>
      <c r="L31" s="197"/>
      <c r="M31" s="188"/>
      <c r="N31" s="188"/>
    </row>
    <row r="32" spans="2:14" ht="51">
      <c r="B32" s="26" t="s">
        <v>179</v>
      </c>
      <c r="C32" s="29" t="s">
        <v>187</v>
      </c>
      <c r="D32" s="19" t="s">
        <v>188</v>
      </c>
      <c r="E32" s="94">
        <v>1.38</v>
      </c>
      <c r="F32" s="20">
        <f t="shared" si="0"/>
        <v>56456.353376068379</v>
      </c>
      <c r="G32" s="21">
        <f t="shared" si="1"/>
        <v>56456.353376068379</v>
      </c>
      <c r="H32" s="22">
        <f t="shared" si="2"/>
        <v>0</v>
      </c>
      <c r="I32" s="41"/>
    </row>
    <row r="33" spans="2:14" ht="227.25" customHeight="1">
      <c r="B33" s="26" t="s">
        <v>203</v>
      </c>
      <c r="C33" s="29" t="s">
        <v>191</v>
      </c>
      <c r="D33" s="19" t="s">
        <v>188</v>
      </c>
      <c r="E33" s="94">
        <v>6.54</v>
      </c>
      <c r="F33" s="20">
        <f t="shared" si="0"/>
        <v>267554.02252136753</v>
      </c>
      <c r="G33" s="21">
        <f t="shared" si="1"/>
        <v>267554.02252136753</v>
      </c>
      <c r="H33" s="22">
        <f t="shared" si="2"/>
        <v>0</v>
      </c>
      <c r="I33" s="58"/>
      <c r="J33" s="2"/>
      <c r="K33" s="154"/>
      <c r="L33" s="159"/>
      <c r="M33" s="186"/>
      <c r="N33" s="186"/>
    </row>
    <row r="34" spans="2:14" ht="108.75" customHeight="1">
      <c r="B34" s="26" t="s">
        <v>192</v>
      </c>
      <c r="C34" s="29" t="s">
        <v>187</v>
      </c>
      <c r="D34" s="19" t="s">
        <v>188</v>
      </c>
      <c r="E34" s="94">
        <v>0.28000000000000003</v>
      </c>
      <c r="F34" s="20">
        <f t="shared" si="0"/>
        <v>11454.912279202281</v>
      </c>
      <c r="G34" s="21">
        <f t="shared" si="1"/>
        <v>11454.912279202281</v>
      </c>
      <c r="H34" s="22">
        <f t="shared" si="2"/>
        <v>0</v>
      </c>
      <c r="I34" s="41"/>
    </row>
    <row r="35" spans="2:14" ht="54.75" customHeight="1">
      <c r="B35" s="27" t="s">
        <v>193</v>
      </c>
      <c r="C35" s="29" t="s">
        <v>187</v>
      </c>
      <c r="D35" s="19" t="s">
        <v>188</v>
      </c>
      <c r="E35" s="94">
        <v>5.2</v>
      </c>
      <c r="F35" s="20">
        <v>212734.07999999999</v>
      </c>
      <c r="G35" s="4">
        <v>166782</v>
      </c>
      <c r="H35" s="22">
        <f>F35-G35</f>
        <v>45952.079999999987</v>
      </c>
      <c r="I35" s="41"/>
      <c r="L35" s="131"/>
    </row>
    <row r="36" spans="2:14" ht="16.5" thickBot="1">
      <c r="B36" s="48" t="s">
        <v>173</v>
      </c>
      <c r="C36" s="49" t="s">
        <v>191</v>
      </c>
      <c r="D36" s="50" t="s">
        <v>188</v>
      </c>
      <c r="E36" s="98">
        <v>1.41</v>
      </c>
      <c r="F36" s="20">
        <f t="shared" si="0"/>
        <v>57683.665405982909</v>
      </c>
      <c r="G36" s="21">
        <f t="shared" ref="G36" si="3">$N$27/$N$28*E36</f>
        <v>57683.665405982909</v>
      </c>
      <c r="H36" s="30">
        <f>F36-G36</f>
        <v>0</v>
      </c>
      <c r="I36" s="59"/>
    </row>
    <row r="37" spans="2:14" ht="16.5" thickBot="1">
      <c r="B37" s="51" t="s">
        <v>177</v>
      </c>
      <c r="C37" s="52"/>
      <c r="D37" s="52"/>
      <c r="E37" s="96">
        <f>SUM(E28:E36)</f>
        <v>19.239999999999998</v>
      </c>
      <c r="F37" s="53">
        <f>SUM(F28:F36)</f>
        <v>787116.11</v>
      </c>
      <c r="G37" s="54">
        <f>SUM(G28:G36)</f>
        <v>741164.03</v>
      </c>
      <c r="H37" s="35">
        <f>SUM(H28:H36)</f>
        <v>45952.079999999987</v>
      </c>
      <c r="I37" s="41"/>
      <c r="J37" s="14"/>
    </row>
    <row r="38" spans="2:14">
      <c r="B38" s="14"/>
      <c r="C38" s="14"/>
      <c r="D38" s="14"/>
      <c r="E38" s="82"/>
      <c r="F38" s="78"/>
      <c r="G38" s="114"/>
    </row>
    <row r="39" spans="2:14" ht="16.5" customHeight="1" thickBot="1">
      <c r="B39" s="234" t="s">
        <v>304</v>
      </c>
      <c r="C39" s="234"/>
      <c r="D39" s="234"/>
      <c r="E39" s="234"/>
      <c r="F39" s="234"/>
      <c r="G39" s="234"/>
      <c r="H39" s="234"/>
      <c r="I39" s="70"/>
      <c r="J39" s="70"/>
    </row>
    <row r="40" spans="2:14" ht="41.25" customHeight="1" thickBot="1">
      <c r="B40" s="202" t="s">
        <v>305</v>
      </c>
      <c r="C40" s="225" t="s">
        <v>194</v>
      </c>
      <c r="D40" s="226"/>
      <c r="E40" s="227" t="s">
        <v>8</v>
      </c>
      <c r="F40" s="228"/>
      <c r="G40" s="227" t="s">
        <v>9</v>
      </c>
      <c r="H40" s="229"/>
      <c r="I40" s="71"/>
      <c r="J40" s="72"/>
      <c r="K40" s="175"/>
      <c r="L40" s="176"/>
      <c r="M40" s="187"/>
      <c r="N40" s="187"/>
    </row>
    <row r="41" spans="2:14">
      <c r="B41" s="88" t="s">
        <v>14</v>
      </c>
      <c r="C41" s="238">
        <f>E41+G41</f>
        <v>6921107.1767415702</v>
      </c>
      <c r="D41" s="239"/>
      <c r="E41" s="263">
        <f>F28+F29+F30+F31+F32+F33+F34+F36+E19</f>
        <v>4582576.6142964251</v>
      </c>
      <c r="F41" s="264"/>
      <c r="G41" s="263">
        <f>F35+G19</f>
        <v>2338530.5624451451</v>
      </c>
      <c r="H41" s="265"/>
      <c r="I41" s="300"/>
      <c r="J41" s="301"/>
      <c r="K41" s="179"/>
      <c r="L41" s="179"/>
      <c r="M41" s="188"/>
    </row>
    <row r="42" spans="2:14">
      <c r="B42" s="89" t="s">
        <v>15</v>
      </c>
      <c r="C42" s="235">
        <f>E42+G42</f>
        <v>6314800.3499999996</v>
      </c>
      <c r="D42" s="236"/>
      <c r="E42" s="235">
        <f>E20+498713.77</f>
        <v>4167292.2907426637</v>
      </c>
      <c r="F42" s="236"/>
      <c r="G42" s="235">
        <f>G20+210689.76</f>
        <v>2147508.0592573355</v>
      </c>
      <c r="H42" s="237"/>
      <c r="I42" s="300"/>
      <c r="J42" s="301"/>
      <c r="K42" s="180"/>
      <c r="L42" s="179"/>
      <c r="M42" s="188"/>
    </row>
    <row r="43" spans="2:14">
      <c r="B43" s="90" t="s">
        <v>176</v>
      </c>
      <c r="C43" s="235">
        <f>E43+G43</f>
        <v>6218770.5697809095</v>
      </c>
      <c r="D43" s="236"/>
      <c r="E43" s="260">
        <f>G28+G29+G30+G31+G32+G33+G34+G36+E21</f>
        <v>4523636.5697809095</v>
      </c>
      <c r="F43" s="261"/>
      <c r="G43" s="260">
        <f>G35+G21</f>
        <v>1695134</v>
      </c>
      <c r="H43" s="262"/>
      <c r="I43" s="300"/>
      <c r="J43" s="301"/>
      <c r="K43" s="156"/>
      <c r="L43" s="156"/>
    </row>
    <row r="44" spans="2:14" ht="16.5" thickBot="1">
      <c r="B44" s="91" t="s">
        <v>208</v>
      </c>
      <c r="C44" s="269">
        <f>E44+G44</f>
        <v>36000</v>
      </c>
      <c r="D44" s="270"/>
      <c r="E44" s="269">
        <f>E22+3600</f>
        <v>36000</v>
      </c>
      <c r="F44" s="270"/>
      <c r="G44" s="269">
        <f>G22</f>
        <v>0</v>
      </c>
      <c r="H44" s="271"/>
      <c r="I44" s="213"/>
      <c r="J44" s="214"/>
      <c r="K44" s="156"/>
      <c r="L44" s="156"/>
    </row>
    <row r="45" spans="2:14" ht="30" customHeight="1" thickBot="1">
      <c r="B45" s="92" t="s">
        <v>275</v>
      </c>
      <c r="C45" s="249">
        <f>E45+G45</f>
        <v>132029.78021908971</v>
      </c>
      <c r="D45" s="250"/>
      <c r="E45" s="251">
        <f>E42+E44-E43</f>
        <v>-320344.27903824579</v>
      </c>
      <c r="F45" s="252"/>
      <c r="G45" s="251">
        <f>G42-G43</f>
        <v>452374.0592573355</v>
      </c>
      <c r="H45" s="253"/>
      <c r="I45" s="73"/>
      <c r="J45" s="74"/>
      <c r="K45" s="156"/>
      <c r="L45" s="156"/>
    </row>
    <row r="46" spans="2:14" ht="37.5" customHeight="1">
      <c r="B46" s="208" t="s">
        <v>167</v>
      </c>
      <c r="C46" s="266" t="s">
        <v>284</v>
      </c>
      <c r="D46" s="266"/>
      <c r="E46" s="266"/>
      <c r="F46" s="267" t="s">
        <v>293</v>
      </c>
      <c r="G46" s="267"/>
      <c r="H46" s="75"/>
      <c r="I46" s="75"/>
      <c r="J46" s="2"/>
      <c r="K46" s="154"/>
      <c r="L46" s="154"/>
      <c r="M46" s="186"/>
      <c r="N46" s="186"/>
    </row>
    <row r="47" spans="2:14" ht="10.5" customHeight="1">
      <c r="B47" s="208"/>
      <c r="C47" s="208"/>
      <c r="D47" s="208"/>
      <c r="E47" s="209"/>
      <c r="F47" s="259"/>
      <c r="G47" s="259"/>
      <c r="H47" s="75"/>
      <c r="I47" s="75"/>
      <c r="J47" s="2"/>
      <c r="K47" s="154"/>
      <c r="L47" s="154"/>
      <c r="M47" s="186"/>
      <c r="N47" s="186"/>
    </row>
    <row r="48" spans="2:14">
      <c r="B48" s="208" t="s">
        <v>168</v>
      </c>
      <c r="C48" s="266" t="s">
        <v>284</v>
      </c>
      <c r="D48" s="266"/>
      <c r="E48" s="266"/>
      <c r="F48" s="267" t="s">
        <v>195</v>
      </c>
      <c r="G48" s="267"/>
      <c r="H48" s="75"/>
      <c r="I48" s="75"/>
      <c r="J48" s="2"/>
      <c r="K48" s="154"/>
      <c r="L48" s="154"/>
      <c r="M48" s="186"/>
      <c r="N48" s="186"/>
    </row>
    <row r="49" spans="2:9" ht="10.5" customHeight="1">
      <c r="B49" s="208"/>
      <c r="C49" s="208"/>
      <c r="D49" s="208"/>
      <c r="E49" s="209"/>
      <c r="F49" s="267"/>
      <c r="G49" s="267"/>
      <c r="H49" s="75"/>
      <c r="I49" s="75"/>
    </row>
    <row r="50" spans="2:9">
      <c r="B50" s="208" t="s">
        <v>169</v>
      </c>
      <c r="C50" s="266" t="s">
        <v>284</v>
      </c>
      <c r="D50" s="266"/>
      <c r="E50" s="266"/>
      <c r="F50" s="267" t="s">
        <v>294</v>
      </c>
      <c r="G50" s="267"/>
      <c r="H50" s="75"/>
      <c r="I50" s="75"/>
    </row>
    <row r="51" spans="2:9" ht="9.75" customHeight="1">
      <c r="B51" s="42"/>
      <c r="C51" s="42"/>
      <c r="D51" s="42"/>
      <c r="E51" s="209"/>
      <c r="F51" s="43"/>
      <c r="G51" s="44"/>
      <c r="H51" s="45"/>
      <c r="I51" s="8"/>
    </row>
    <row r="52" spans="2:9">
      <c r="B52" s="208" t="s">
        <v>170</v>
      </c>
      <c r="C52" s="266" t="s">
        <v>284</v>
      </c>
      <c r="D52" s="266"/>
      <c r="E52" s="266"/>
      <c r="F52" s="267" t="s">
        <v>294</v>
      </c>
      <c r="G52" s="267"/>
      <c r="H52" s="75"/>
      <c r="I52" s="75"/>
    </row>
    <row r="53" spans="2:9" ht="9" customHeight="1">
      <c r="B53" s="46"/>
      <c r="C53" s="46"/>
      <c r="D53" s="46"/>
      <c r="E53" s="209"/>
      <c r="F53" s="268"/>
      <c r="G53" s="268"/>
      <c r="I53" s="78"/>
    </row>
    <row r="54" spans="2:9">
      <c r="B54" s="46"/>
      <c r="C54" s="46"/>
      <c r="D54" s="83"/>
      <c r="E54" s="83"/>
      <c r="F54" s="84"/>
      <c r="G54" s="84"/>
    </row>
    <row r="55" spans="2:9">
      <c r="C55" s="10"/>
      <c r="D55" s="82"/>
      <c r="E55" s="47"/>
      <c r="H55" s="3"/>
    </row>
    <row r="56" spans="2:9">
      <c r="C56" s="10"/>
      <c r="D56" s="82"/>
      <c r="H56" s="3"/>
    </row>
    <row r="57" spans="2:9">
      <c r="C57" s="10"/>
      <c r="H57" s="3"/>
    </row>
    <row r="58" spans="2:9">
      <c r="C58" s="10"/>
      <c r="H58" s="3"/>
    </row>
  </sheetData>
  <mergeCells count="67">
    <mergeCell ref="C42:D42"/>
    <mergeCell ref="C23:D23"/>
    <mergeCell ref="C18:D18"/>
    <mergeCell ref="C19:D19"/>
    <mergeCell ref="C20:D20"/>
    <mergeCell ref="C21:D21"/>
    <mergeCell ref="C22:D22"/>
    <mergeCell ref="C40:D40"/>
    <mergeCell ref="C41:D41"/>
    <mergeCell ref="B26:B27"/>
    <mergeCell ref="C26:C27"/>
    <mergeCell ref="D26:D27"/>
    <mergeCell ref="E26:E27"/>
    <mergeCell ref="B39:H39"/>
    <mergeCell ref="F26:G26"/>
    <mergeCell ref="H26:H27"/>
    <mergeCell ref="F46:G46"/>
    <mergeCell ref="E43:F43"/>
    <mergeCell ref="E45:F45"/>
    <mergeCell ref="E44:F44"/>
    <mergeCell ref="G44:H44"/>
    <mergeCell ref="C46:E46"/>
    <mergeCell ref="G45:H45"/>
    <mergeCell ref="B1:H1"/>
    <mergeCell ref="F53:G53"/>
    <mergeCell ref="F50:G50"/>
    <mergeCell ref="F52:G52"/>
    <mergeCell ref="F48:G48"/>
    <mergeCell ref="F49:G49"/>
    <mergeCell ref="G43:H43"/>
    <mergeCell ref="E41:F41"/>
    <mergeCell ref="G41:H41"/>
    <mergeCell ref="B5:H6"/>
    <mergeCell ref="B2:H2"/>
    <mergeCell ref="B3:H3"/>
    <mergeCell ref="B4:H4"/>
    <mergeCell ref="F47:G47"/>
    <mergeCell ref="D8:E8"/>
    <mergeCell ref="B25:H25"/>
    <mergeCell ref="B17:H17"/>
    <mergeCell ref="E18:F18"/>
    <mergeCell ref="G18:H18"/>
    <mergeCell ref="E19:F19"/>
    <mergeCell ref="G19:H19"/>
    <mergeCell ref="N25:N26"/>
    <mergeCell ref="E20:F20"/>
    <mergeCell ref="G20:H20"/>
    <mergeCell ref="E21:F21"/>
    <mergeCell ref="G21:H21"/>
    <mergeCell ref="E22:F22"/>
    <mergeCell ref="G22:H22"/>
    <mergeCell ref="E23:F23"/>
    <mergeCell ref="G23:H23"/>
    <mergeCell ref="M25:M26"/>
    <mergeCell ref="I43:J43"/>
    <mergeCell ref="E40:F40"/>
    <mergeCell ref="G40:H40"/>
    <mergeCell ref="I41:J41"/>
    <mergeCell ref="G42:H42"/>
    <mergeCell ref="I42:J42"/>
    <mergeCell ref="E42:F42"/>
    <mergeCell ref="C48:E48"/>
    <mergeCell ref="C50:E50"/>
    <mergeCell ref="C52:E52"/>
    <mergeCell ref="C43:D43"/>
    <mergeCell ref="C44:D44"/>
    <mergeCell ref="C45:D45"/>
  </mergeCells>
  <printOptions horizontalCentered="1"/>
  <pageMargins left="0.19685039370078741" right="0.19685039370078741" top="0.23622047244094491" bottom="0.23622047244094491" header="0.31496062992125984" footer="0.31496062992125984"/>
  <pageSetup paperSize="9" scale="5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6"/>
  <sheetViews>
    <sheetView topLeftCell="A22" zoomScale="110" zoomScaleNormal="110" workbookViewId="0">
      <selection activeCell="F31" sqref="F31"/>
    </sheetView>
  </sheetViews>
  <sheetFormatPr defaultColWidth="9.140625" defaultRowHeight="15.75" outlineLevelRow="1"/>
  <cols>
    <col min="1" max="1" width="2.85546875" style="3" customWidth="1"/>
    <col min="2" max="2" width="55.85546875" style="3" customWidth="1"/>
    <col min="3" max="3" width="11.42578125" style="78" customWidth="1"/>
    <col min="4" max="4" width="8.85546875" style="78" customWidth="1"/>
    <col min="5" max="5" width="9.7109375" style="78" customWidth="1"/>
    <col min="6" max="6" width="10.42578125" style="78" customWidth="1"/>
    <col min="7" max="7" width="10.42578125" style="3" customWidth="1"/>
    <col min="8" max="8" width="10.7109375" style="78" customWidth="1"/>
    <col min="9" max="9" width="10.7109375" style="3" bestFit="1" customWidth="1"/>
    <col min="10" max="10" width="12.140625" style="3" customWidth="1"/>
    <col min="11" max="11" width="13.85546875" style="3" customWidth="1"/>
    <col min="12" max="12" width="9.140625" style="3"/>
    <col min="13" max="13" width="15.140625" style="185" customWidth="1"/>
    <col min="14" max="14" width="14.85546875" style="185" customWidth="1"/>
    <col min="15" max="16384" width="9.140625" style="3"/>
  </cols>
  <sheetData>
    <row r="1" spans="1:9">
      <c r="B1" s="230" t="s">
        <v>197</v>
      </c>
      <c r="C1" s="230"/>
      <c r="D1" s="230"/>
      <c r="E1" s="230"/>
      <c r="F1" s="230"/>
      <c r="G1" s="230"/>
      <c r="H1" s="230"/>
    </row>
    <row r="2" spans="1:9">
      <c r="B2" s="230" t="s">
        <v>198</v>
      </c>
      <c r="C2" s="230"/>
      <c r="D2" s="230"/>
      <c r="E2" s="230"/>
      <c r="F2" s="230"/>
      <c r="G2" s="230"/>
      <c r="H2" s="230"/>
    </row>
    <row r="3" spans="1:9">
      <c r="B3" s="230" t="s">
        <v>283</v>
      </c>
      <c r="C3" s="230"/>
      <c r="D3" s="230"/>
      <c r="E3" s="230"/>
      <c r="F3" s="230"/>
      <c r="G3" s="230"/>
      <c r="H3" s="230"/>
    </row>
    <row r="4" spans="1:9">
      <c r="B4" s="230" t="s">
        <v>300</v>
      </c>
      <c r="C4" s="230"/>
      <c r="D4" s="230"/>
      <c r="E4" s="230"/>
      <c r="F4" s="230"/>
      <c r="G4" s="230"/>
      <c r="H4" s="230"/>
    </row>
    <row r="5" spans="1:9" ht="21" customHeight="1">
      <c r="A5" s="5"/>
      <c r="B5" s="231" t="s">
        <v>301</v>
      </c>
      <c r="C5" s="231"/>
      <c r="D5" s="231"/>
      <c r="E5" s="231"/>
      <c r="F5" s="231"/>
      <c r="G5" s="231"/>
      <c r="H5" s="231"/>
    </row>
    <row r="6" spans="1:9" ht="15.75" customHeight="1">
      <c r="A6" s="5"/>
      <c r="B6" s="231"/>
      <c r="C6" s="231"/>
      <c r="D6" s="231"/>
      <c r="E6" s="231"/>
      <c r="F6" s="231"/>
      <c r="G6" s="231"/>
      <c r="H6" s="231"/>
    </row>
    <row r="7" spans="1:9" ht="9" customHeight="1">
      <c r="A7" s="5"/>
      <c r="B7" s="210"/>
      <c r="C7" s="210"/>
      <c r="D7" s="210"/>
      <c r="E7" s="210"/>
      <c r="F7" s="210"/>
      <c r="G7" s="210"/>
      <c r="H7" s="210"/>
    </row>
    <row r="8" spans="1:9">
      <c r="B8" s="103" t="s">
        <v>0</v>
      </c>
      <c r="C8" s="107"/>
      <c r="D8" s="294" t="s">
        <v>147</v>
      </c>
      <c r="E8" s="294"/>
    </row>
    <row r="9" spans="1:9">
      <c r="B9" s="103" t="s">
        <v>1</v>
      </c>
      <c r="C9" s="107"/>
      <c r="D9" s="212">
        <v>1988</v>
      </c>
      <c r="E9" s="212"/>
    </row>
    <row r="10" spans="1:9" ht="15.75" hidden="1" customHeight="1" outlineLevel="1">
      <c r="B10" s="103" t="s">
        <v>2</v>
      </c>
      <c r="C10" s="107"/>
      <c r="D10" s="212">
        <v>5</v>
      </c>
      <c r="E10" s="212"/>
    </row>
    <row r="11" spans="1:9" ht="15.75" hidden="1" customHeight="1" outlineLevel="1">
      <c r="B11" s="103" t="s">
        <v>3</v>
      </c>
      <c r="C11" s="107"/>
      <c r="D11" s="212">
        <v>55</v>
      </c>
      <c r="E11" s="212"/>
    </row>
    <row r="12" spans="1:9" ht="31.5" hidden="1" customHeight="1" outlineLevel="1">
      <c r="B12" s="105" t="s">
        <v>4</v>
      </c>
      <c r="C12" s="108"/>
      <c r="D12" s="212" t="s">
        <v>148</v>
      </c>
      <c r="E12" s="212"/>
    </row>
    <row r="13" spans="1:9" collapsed="1">
      <c r="B13" s="103" t="s">
        <v>5</v>
      </c>
      <c r="C13" s="107"/>
      <c r="D13" s="212" t="s">
        <v>256</v>
      </c>
      <c r="E13" s="212"/>
      <c r="I13" s="14"/>
    </row>
    <row r="14" spans="1:9" ht="15.75" hidden="1" customHeight="1" outlineLevel="1">
      <c r="B14" s="103" t="s">
        <v>6</v>
      </c>
      <c r="C14" s="107"/>
      <c r="D14" s="212" t="s">
        <v>12</v>
      </c>
      <c r="E14" s="212"/>
    </row>
    <row r="15" spans="1:9" ht="31.5" hidden="1" customHeight="1" outlineLevel="1">
      <c r="B15" s="105" t="s">
        <v>7</v>
      </c>
      <c r="C15" s="108"/>
      <c r="D15" s="109" t="s">
        <v>149</v>
      </c>
      <c r="E15" s="212"/>
      <c r="I15" s="14"/>
    </row>
    <row r="16" spans="1:9" ht="8.25" customHeight="1" collapsed="1">
      <c r="B16" s="105"/>
      <c r="C16" s="108"/>
      <c r="D16" s="109"/>
      <c r="E16" s="212"/>
      <c r="I16" s="14"/>
    </row>
    <row r="17" spans="2:14" ht="16.5" thickBot="1">
      <c r="B17" s="234" t="s">
        <v>295</v>
      </c>
      <c r="C17" s="234"/>
      <c r="D17" s="234"/>
      <c r="E17" s="234"/>
      <c r="F17" s="234"/>
      <c r="G17" s="234"/>
      <c r="H17" s="234"/>
      <c r="I17" s="14"/>
    </row>
    <row r="18" spans="2:14" ht="48.75" customHeight="1" thickBot="1">
      <c r="B18" s="202" t="s">
        <v>296</v>
      </c>
      <c r="C18" s="225" t="s">
        <v>194</v>
      </c>
      <c r="D18" s="226"/>
      <c r="E18" s="227" t="s">
        <v>8</v>
      </c>
      <c r="F18" s="228"/>
      <c r="G18" s="227" t="s">
        <v>9</v>
      </c>
      <c r="H18" s="229"/>
      <c r="I18" s="14"/>
    </row>
    <row r="19" spans="2:14">
      <c r="B19" s="88" t="s">
        <v>14</v>
      </c>
      <c r="C19" s="238">
        <v>4149830.7199999997</v>
      </c>
      <c r="D19" s="273"/>
      <c r="E19" s="263">
        <v>2966812.34</v>
      </c>
      <c r="F19" s="264"/>
      <c r="G19" s="263">
        <v>1183018.3800000001</v>
      </c>
      <c r="H19" s="265"/>
      <c r="I19" s="14"/>
    </row>
    <row r="20" spans="2:14">
      <c r="B20" s="89" t="s">
        <v>15</v>
      </c>
      <c r="C20" s="235">
        <v>3679794.3699999992</v>
      </c>
      <c r="D20" s="298"/>
      <c r="E20" s="235">
        <v>2638376.4299999992</v>
      </c>
      <c r="F20" s="236"/>
      <c r="G20" s="235">
        <v>1041417.94</v>
      </c>
      <c r="H20" s="237"/>
      <c r="I20" s="14"/>
    </row>
    <row r="21" spans="2:14">
      <c r="B21" s="90" t="s">
        <v>176</v>
      </c>
      <c r="C21" s="235">
        <v>3887889.3391</v>
      </c>
      <c r="D21" s="298"/>
      <c r="E21" s="260">
        <v>2992987.3391</v>
      </c>
      <c r="F21" s="261"/>
      <c r="G21" s="260">
        <v>894902</v>
      </c>
      <c r="H21" s="262"/>
      <c r="I21" s="14"/>
    </row>
    <row r="22" spans="2:14" ht="16.5" thickBot="1">
      <c r="B22" s="91" t="s">
        <v>208</v>
      </c>
      <c r="C22" s="235">
        <v>32400</v>
      </c>
      <c r="D22" s="298"/>
      <c r="E22" s="269">
        <v>32400</v>
      </c>
      <c r="F22" s="270"/>
      <c r="G22" s="269">
        <v>0</v>
      </c>
      <c r="H22" s="271"/>
      <c r="I22" s="14"/>
    </row>
    <row r="23" spans="2:14" ht="36.75" thickBot="1">
      <c r="B23" s="92" t="s">
        <v>274</v>
      </c>
      <c r="C23" s="249">
        <f>E23+G23</f>
        <v>-175694.9691000008</v>
      </c>
      <c r="D23" s="250"/>
      <c r="E23" s="251">
        <f>E20+E22-E21</f>
        <v>-322210.90910000075</v>
      </c>
      <c r="F23" s="252"/>
      <c r="G23" s="251">
        <f>G20-G21</f>
        <v>146515.93999999994</v>
      </c>
      <c r="H23" s="253"/>
      <c r="I23" s="14"/>
    </row>
    <row r="24" spans="2:14">
      <c r="B24" s="11"/>
      <c r="C24" s="76"/>
      <c r="D24" s="87"/>
      <c r="E24" s="211"/>
      <c r="I24" s="14"/>
    </row>
    <row r="25" spans="2:14" ht="31.5" customHeight="1" thickBot="1">
      <c r="B25" s="295" t="s">
        <v>302</v>
      </c>
      <c r="C25" s="295"/>
      <c r="D25" s="295"/>
      <c r="E25" s="295"/>
      <c r="F25" s="295"/>
      <c r="G25" s="295"/>
      <c r="H25" s="295"/>
      <c r="L25" s="14"/>
      <c r="M25" s="241" t="s">
        <v>278</v>
      </c>
      <c r="N25" s="241" t="s">
        <v>279</v>
      </c>
    </row>
    <row r="26" spans="2:14" ht="39.75" customHeight="1">
      <c r="B26" s="296" t="s">
        <v>183</v>
      </c>
      <c r="C26" s="290" t="s">
        <v>184</v>
      </c>
      <c r="D26" s="290" t="s">
        <v>292</v>
      </c>
      <c r="E26" s="247" t="s">
        <v>303</v>
      </c>
      <c r="F26" s="292" t="s">
        <v>186</v>
      </c>
      <c r="G26" s="293"/>
      <c r="H26" s="257" t="s">
        <v>209</v>
      </c>
      <c r="L26" s="14"/>
      <c r="M26" s="242"/>
      <c r="N26" s="242"/>
    </row>
    <row r="27" spans="2:14" ht="39" customHeight="1" thickBot="1">
      <c r="B27" s="297"/>
      <c r="C27" s="291"/>
      <c r="D27" s="291"/>
      <c r="E27" s="248"/>
      <c r="F27" s="16" t="s">
        <v>174</v>
      </c>
      <c r="G27" s="17" t="s">
        <v>175</v>
      </c>
      <c r="H27" s="258"/>
      <c r="M27" s="204">
        <v>304034.12</v>
      </c>
      <c r="N27" s="204">
        <f>M27</f>
        <v>304034.12</v>
      </c>
    </row>
    <row r="28" spans="2:14" ht="49.5" customHeight="1">
      <c r="B28" s="18" t="s">
        <v>178</v>
      </c>
      <c r="C28" s="29" t="s">
        <v>187</v>
      </c>
      <c r="D28" s="19" t="s">
        <v>188</v>
      </c>
      <c r="E28" s="93">
        <v>1.9</v>
      </c>
      <c r="F28" s="20">
        <f>$M$27/$M$28*E28</f>
        <v>39484.950649350641</v>
      </c>
      <c r="G28" s="21">
        <f>$N$27/$N$28*E28</f>
        <v>39484.950649350641</v>
      </c>
      <c r="H28" s="22">
        <f>F28-G28</f>
        <v>0</v>
      </c>
      <c r="I28" s="57"/>
      <c r="J28" s="24"/>
      <c r="K28" s="24"/>
      <c r="L28" s="25"/>
      <c r="M28" s="205">
        <f>E37-E35</f>
        <v>14.630000000000003</v>
      </c>
      <c r="N28" s="205">
        <f>M28</f>
        <v>14.630000000000003</v>
      </c>
    </row>
    <row r="29" spans="2:14" ht="51">
      <c r="B29" s="26" t="s">
        <v>189</v>
      </c>
      <c r="C29" s="29" t="s">
        <v>187</v>
      </c>
      <c r="D29" s="19" t="s">
        <v>188</v>
      </c>
      <c r="E29" s="94">
        <v>2.06</v>
      </c>
      <c r="F29" s="20">
        <f>$M$27/$M$28*E29</f>
        <v>42809.999125085436</v>
      </c>
      <c r="G29" s="21">
        <f>$N$27/$N$28*E29</f>
        <v>42809.999125085436</v>
      </c>
      <c r="H29" s="22">
        <f t="shared" ref="H29:H34" si="0">F29-G29</f>
        <v>0</v>
      </c>
      <c r="I29" s="58"/>
      <c r="J29" s="2"/>
      <c r="K29" s="2"/>
      <c r="L29" s="2"/>
      <c r="M29" s="186"/>
      <c r="N29" s="186"/>
    </row>
    <row r="30" spans="2:14" ht="51.75" customHeight="1">
      <c r="B30" s="27" t="s">
        <v>171</v>
      </c>
      <c r="C30" s="29" t="s">
        <v>187</v>
      </c>
      <c r="D30" s="19" t="s">
        <v>188</v>
      </c>
      <c r="E30" s="94">
        <v>0.32</v>
      </c>
      <c r="F30" s="20">
        <f t="shared" ref="F30:F36" si="1">$M$27/$M$28*E30</f>
        <v>6650.0969514695826</v>
      </c>
      <c r="G30" s="21">
        <f t="shared" ref="G30:G33" si="2">$N$27/$N$28*E30</f>
        <v>6650.0969514695826</v>
      </c>
      <c r="H30" s="22">
        <f t="shared" si="0"/>
        <v>0</v>
      </c>
      <c r="I30" s="41"/>
      <c r="L30" s="14"/>
    </row>
    <row r="31" spans="2:14" ht="25.5">
      <c r="B31" s="27" t="s">
        <v>172</v>
      </c>
      <c r="C31" s="28" t="s">
        <v>190</v>
      </c>
      <c r="D31" s="19" t="s">
        <v>188</v>
      </c>
      <c r="E31" s="94">
        <v>0.57999999999999996</v>
      </c>
      <c r="F31" s="20">
        <f t="shared" si="1"/>
        <v>12053.300724538618</v>
      </c>
      <c r="G31" s="21">
        <f t="shared" si="2"/>
        <v>12053.300724538618</v>
      </c>
      <c r="H31" s="22">
        <f t="shared" si="0"/>
        <v>0</v>
      </c>
      <c r="I31" s="41"/>
      <c r="L31" s="14"/>
    </row>
    <row r="32" spans="2:14" ht="51">
      <c r="B32" s="26" t="s">
        <v>179</v>
      </c>
      <c r="C32" s="29" t="s">
        <v>187</v>
      </c>
      <c r="D32" s="19" t="s">
        <v>188</v>
      </c>
      <c r="E32" s="94">
        <v>1.38</v>
      </c>
      <c r="F32" s="20">
        <f t="shared" si="1"/>
        <v>28678.543103212571</v>
      </c>
      <c r="G32" s="21">
        <f t="shared" si="2"/>
        <v>28678.543103212571</v>
      </c>
      <c r="H32" s="22">
        <f t="shared" si="0"/>
        <v>0</v>
      </c>
      <c r="I32" s="41"/>
    </row>
    <row r="33" spans="2:14" ht="213" customHeight="1">
      <c r="B33" s="26" t="s">
        <v>204</v>
      </c>
      <c r="C33" s="29" t="s">
        <v>191</v>
      </c>
      <c r="D33" s="19" t="s">
        <v>188</v>
      </c>
      <c r="E33" s="94">
        <v>6.54</v>
      </c>
      <c r="F33" s="20">
        <f t="shared" si="1"/>
        <v>135911.35644565959</v>
      </c>
      <c r="G33" s="21">
        <f t="shared" si="2"/>
        <v>135911.35644565959</v>
      </c>
      <c r="H33" s="22">
        <f t="shared" si="0"/>
        <v>0</v>
      </c>
      <c r="I33" s="58"/>
      <c r="J33" s="2"/>
      <c r="K33" s="2"/>
      <c r="L33" s="1"/>
      <c r="M33" s="186"/>
      <c r="N33" s="186"/>
    </row>
    <row r="34" spans="2:14" ht="102">
      <c r="B34" s="26" t="s">
        <v>192</v>
      </c>
      <c r="C34" s="29" t="s">
        <v>187</v>
      </c>
      <c r="D34" s="19" t="s">
        <v>188</v>
      </c>
      <c r="E34" s="94">
        <v>0.34</v>
      </c>
      <c r="F34" s="20">
        <f t="shared" si="1"/>
        <v>7065.7280109364319</v>
      </c>
      <c r="G34" s="21">
        <f t="shared" ref="G34" si="3">$N$27/$N$28*E34</f>
        <v>7065.7280109364319</v>
      </c>
      <c r="H34" s="22">
        <f t="shared" si="0"/>
        <v>0</v>
      </c>
      <c r="I34" s="41"/>
    </row>
    <row r="35" spans="2:14" ht="56.25" customHeight="1">
      <c r="B35" s="27" t="s">
        <v>193</v>
      </c>
      <c r="C35" s="29" t="s">
        <v>187</v>
      </c>
      <c r="D35" s="19" t="s">
        <v>188</v>
      </c>
      <c r="E35" s="94">
        <v>5.75</v>
      </c>
      <c r="F35" s="20">
        <v>119433.32</v>
      </c>
      <c r="G35" s="4">
        <v>65109</v>
      </c>
      <c r="H35" s="22">
        <f>F35-G35</f>
        <v>54324.320000000007</v>
      </c>
      <c r="I35" s="41"/>
      <c r="L35" s="14"/>
    </row>
    <row r="36" spans="2:14" ht="16.5" thickBot="1">
      <c r="B36" s="48" t="s">
        <v>173</v>
      </c>
      <c r="C36" s="49" t="s">
        <v>191</v>
      </c>
      <c r="D36" s="50" t="s">
        <v>188</v>
      </c>
      <c r="E36" s="98">
        <v>1.51</v>
      </c>
      <c r="F36" s="20">
        <f t="shared" si="1"/>
        <v>31380.144989747092</v>
      </c>
      <c r="G36" s="21">
        <f t="shared" ref="G36" si="4">$N$27/$N$28*E36</f>
        <v>31380.144989747092</v>
      </c>
      <c r="H36" s="30">
        <f>F36-G36</f>
        <v>0</v>
      </c>
      <c r="I36" s="41"/>
    </row>
    <row r="37" spans="2:14" ht="16.5" thickBot="1">
      <c r="B37" s="51" t="s">
        <v>177</v>
      </c>
      <c r="C37" s="52"/>
      <c r="D37" s="52"/>
      <c r="E37" s="96">
        <f>SUM(E28:E36)</f>
        <v>20.380000000000003</v>
      </c>
      <c r="F37" s="53">
        <f>SUM(F28:F36)</f>
        <v>423467.43999999994</v>
      </c>
      <c r="G37" s="54">
        <f>SUM(G28:G36)</f>
        <v>369143.11999999994</v>
      </c>
      <c r="H37" s="35">
        <f>SUM(H28:H36)</f>
        <v>54324.320000000007</v>
      </c>
      <c r="I37" s="41"/>
      <c r="J37" s="14"/>
    </row>
    <row r="38" spans="2:14">
      <c r="B38" s="14"/>
      <c r="C38" s="14"/>
      <c r="D38" s="14"/>
      <c r="E38" s="82"/>
      <c r="F38" s="82"/>
      <c r="G38" s="82"/>
    </row>
    <row r="39" spans="2:14" ht="16.5" customHeight="1" thickBot="1">
      <c r="B39" s="234" t="s">
        <v>304</v>
      </c>
      <c r="C39" s="234"/>
      <c r="D39" s="234"/>
      <c r="E39" s="234"/>
      <c r="F39" s="234"/>
      <c r="G39" s="234"/>
      <c r="H39" s="234"/>
      <c r="I39" s="70"/>
      <c r="J39" s="70"/>
    </row>
    <row r="40" spans="2:14" ht="48" customHeight="1" thickBot="1">
      <c r="B40" s="202" t="s">
        <v>305</v>
      </c>
      <c r="C40" s="225" t="s">
        <v>194</v>
      </c>
      <c r="D40" s="226"/>
      <c r="E40" s="227" t="s">
        <v>8</v>
      </c>
      <c r="F40" s="228"/>
      <c r="G40" s="227" t="s">
        <v>9</v>
      </c>
      <c r="H40" s="229"/>
      <c r="I40" s="71"/>
      <c r="J40" s="72"/>
      <c r="K40" s="39"/>
      <c r="L40" s="40"/>
      <c r="M40" s="187"/>
      <c r="N40" s="187"/>
    </row>
    <row r="41" spans="2:14">
      <c r="B41" s="88" t="s">
        <v>14</v>
      </c>
      <c r="C41" s="238">
        <f>E41+G41</f>
        <v>4573298.16</v>
      </c>
      <c r="D41" s="239"/>
      <c r="E41" s="263">
        <f>F28+F29+F30+F31+F32+F33+F34+F36+E19</f>
        <v>3270846.46</v>
      </c>
      <c r="F41" s="264"/>
      <c r="G41" s="263">
        <f>F35+G19</f>
        <v>1302451.7000000002</v>
      </c>
      <c r="H41" s="265"/>
      <c r="I41" s="73"/>
      <c r="J41" s="74"/>
      <c r="K41" s="7"/>
      <c r="L41" s="7"/>
      <c r="M41" s="188"/>
    </row>
    <row r="42" spans="2:14">
      <c r="B42" s="89" t="s">
        <v>15</v>
      </c>
      <c r="C42" s="235">
        <f>E42+G42</f>
        <v>4078879.6399999992</v>
      </c>
      <c r="D42" s="236"/>
      <c r="E42" s="235">
        <f>E20+278455.21</f>
        <v>2916831.6399999992</v>
      </c>
      <c r="F42" s="236"/>
      <c r="G42" s="235">
        <f>G20+120631.59-1.53</f>
        <v>1162048</v>
      </c>
      <c r="H42" s="237"/>
      <c r="I42" s="73"/>
      <c r="J42" s="74"/>
      <c r="K42" s="9"/>
      <c r="L42" s="7"/>
      <c r="M42" s="188"/>
    </row>
    <row r="43" spans="2:14">
      <c r="B43" s="90" t="s">
        <v>176</v>
      </c>
      <c r="C43" s="235">
        <f>E43+G43</f>
        <v>4257032.4591000006</v>
      </c>
      <c r="D43" s="236"/>
      <c r="E43" s="260">
        <f>G28+G29+G30+G31+G32+G33+G34+G36+E21</f>
        <v>3297021.4591000001</v>
      </c>
      <c r="F43" s="261"/>
      <c r="G43" s="260">
        <f>G35+G21</f>
        <v>960011</v>
      </c>
      <c r="H43" s="262"/>
      <c r="I43" s="73"/>
      <c r="J43" s="74"/>
      <c r="K43" s="41"/>
      <c r="L43" s="41"/>
    </row>
    <row r="44" spans="2:14" ht="16.5" thickBot="1">
      <c r="B44" s="91" t="s">
        <v>208</v>
      </c>
      <c r="C44" s="269">
        <f>E44+G44</f>
        <v>36000</v>
      </c>
      <c r="D44" s="270"/>
      <c r="E44" s="269">
        <f>E22+3600</f>
        <v>36000</v>
      </c>
      <c r="F44" s="270"/>
      <c r="G44" s="269">
        <f>G22</f>
        <v>0</v>
      </c>
      <c r="H44" s="271"/>
      <c r="I44" s="73"/>
      <c r="J44" s="74"/>
      <c r="K44" s="41"/>
      <c r="L44" s="41"/>
    </row>
    <row r="45" spans="2:14" ht="33.75" customHeight="1" thickBot="1">
      <c r="B45" s="92" t="s">
        <v>275</v>
      </c>
      <c r="C45" s="249">
        <f>E45+G45</f>
        <v>-142152.8191000009</v>
      </c>
      <c r="D45" s="250"/>
      <c r="E45" s="251">
        <f>E42+E44-E43</f>
        <v>-344189.8191000009</v>
      </c>
      <c r="F45" s="252"/>
      <c r="G45" s="251">
        <f>G42-G43</f>
        <v>202037</v>
      </c>
      <c r="H45" s="253"/>
      <c r="I45" s="73"/>
      <c r="J45" s="74"/>
      <c r="K45" s="41"/>
      <c r="L45" s="41"/>
    </row>
    <row r="46" spans="2:14" ht="29.25" customHeight="1">
      <c r="B46" s="208" t="s">
        <v>167</v>
      </c>
      <c r="C46" s="266" t="s">
        <v>284</v>
      </c>
      <c r="D46" s="266"/>
      <c r="E46" s="266"/>
      <c r="F46" s="267" t="s">
        <v>293</v>
      </c>
      <c r="G46" s="267"/>
      <c r="H46" s="75"/>
      <c r="I46" s="75"/>
      <c r="J46" s="2"/>
      <c r="K46" s="2"/>
      <c r="L46" s="2"/>
      <c r="M46" s="186"/>
      <c r="N46" s="186"/>
    </row>
    <row r="47" spans="2:14" ht="9.75" customHeight="1">
      <c r="B47" s="208"/>
      <c r="C47" s="208"/>
      <c r="D47" s="208"/>
      <c r="E47" s="209"/>
      <c r="F47" s="259"/>
      <c r="G47" s="259"/>
      <c r="H47" s="75"/>
      <c r="I47" s="75"/>
      <c r="J47" s="2"/>
      <c r="K47" s="2"/>
      <c r="L47" s="2"/>
      <c r="M47" s="186"/>
      <c r="N47" s="186"/>
    </row>
    <row r="48" spans="2:14">
      <c r="B48" s="208" t="s">
        <v>168</v>
      </c>
      <c r="C48" s="266" t="s">
        <v>284</v>
      </c>
      <c r="D48" s="266"/>
      <c r="E48" s="266"/>
      <c r="F48" s="267" t="s">
        <v>195</v>
      </c>
      <c r="G48" s="267"/>
      <c r="H48" s="75"/>
      <c r="I48" s="75"/>
      <c r="J48" s="2"/>
      <c r="K48" s="2"/>
      <c r="L48" s="2"/>
      <c r="M48" s="186"/>
      <c r="N48" s="186"/>
    </row>
    <row r="49" spans="2:9" ht="10.5" customHeight="1">
      <c r="B49" s="208"/>
      <c r="C49" s="208"/>
      <c r="D49" s="208"/>
      <c r="E49" s="209"/>
      <c r="F49" s="267"/>
      <c r="G49" s="267"/>
      <c r="H49" s="75"/>
      <c r="I49" s="75"/>
    </row>
    <row r="50" spans="2:9">
      <c r="B50" s="208" t="s">
        <v>169</v>
      </c>
      <c r="C50" s="266" t="s">
        <v>284</v>
      </c>
      <c r="D50" s="266"/>
      <c r="E50" s="266"/>
      <c r="F50" s="267" t="s">
        <v>294</v>
      </c>
      <c r="G50" s="267"/>
      <c r="H50" s="75"/>
      <c r="I50" s="75"/>
    </row>
    <row r="51" spans="2:9" ht="9.75" customHeight="1">
      <c r="B51" s="42"/>
      <c r="C51" s="42"/>
      <c r="D51" s="42"/>
      <c r="E51" s="209"/>
      <c r="F51" s="43"/>
      <c r="G51" s="44"/>
      <c r="H51" s="43"/>
      <c r="I51" s="44"/>
    </row>
    <row r="52" spans="2:9">
      <c r="B52" s="208" t="s">
        <v>170</v>
      </c>
      <c r="C52" s="266" t="s">
        <v>284</v>
      </c>
      <c r="D52" s="266"/>
      <c r="E52" s="266"/>
      <c r="F52" s="267" t="s">
        <v>294</v>
      </c>
      <c r="G52" s="267"/>
      <c r="H52" s="75"/>
      <c r="I52" s="75"/>
    </row>
    <row r="53" spans="2:9" ht="9.75" customHeight="1">
      <c r="B53" s="46"/>
      <c r="C53" s="46"/>
      <c r="D53" s="46"/>
      <c r="E53" s="209"/>
      <c r="F53" s="268"/>
      <c r="G53" s="268"/>
      <c r="H53" s="84"/>
      <c r="I53" s="84"/>
    </row>
    <row r="54" spans="2:9">
      <c r="B54" s="46"/>
      <c r="C54" s="46"/>
      <c r="D54" s="83"/>
      <c r="E54" s="83"/>
      <c r="F54" s="84"/>
      <c r="G54" s="84"/>
      <c r="H54" s="46"/>
      <c r="I54" s="46"/>
    </row>
    <row r="55" spans="2:9">
      <c r="C55" s="3"/>
      <c r="D55" s="3"/>
      <c r="E55" s="3"/>
      <c r="F55" s="3"/>
      <c r="H55" s="3"/>
    </row>
    <row r="56" spans="2:9">
      <c r="C56" s="60"/>
      <c r="F56" s="3"/>
      <c r="H56" s="3"/>
    </row>
  </sheetData>
  <mergeCells count="64">
    <mergeCell ref="B17:H17"/>
    <mergeCell ref="E18:F18"/>
    <mergeCell ref="G18:H18"/>
    <mergeCell ref="G41:H41"/>
    <mergeCell ref="D8:E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D26:D27"/>
    <mergeCell ref="B1:H1"/>
    <mergeCell ref="F47:G47"/>
    <mergeCell ref="E42:F42"/>
    <mergeCell ref="G42:H42"/>
    <mergeCell ref="E43:F43"/>
    <mergeCell ref="G43:H43"/>
    <mergeCell ref="G40:H40"/>
    <mergeCell ref="E41:F41"/>
    <mergeCell ref="B5:H6"/>
    <mergeCell ref="B2:H2"/>
    <mergeCell ref="B3:H3"/>
    <mergeCell ref="B4:H4"/>
    <mergeCell ref="E40:F40"/>
    <mergeCell ref="B25:H25"/>
    <mergeCell ref="B26:B27"/>
    <mergeCell ref="C26:C27"/>
    <mergeCell ref="F53:G53"/>
    <mergeCell ref="F50:G50"/>
    <mergeCell ref="F52:G52"/>
    <mergeCell ref="F26:G26"/>
    <mergeCell ref="H26:H27"/>
    <mergeCell ref="E44:F44"/>
    <mergeCell ref="G44:H44"/>
    <mergeCell ref="F49:G49"/>
    <mergeCell ref="B39:H39"/>
    <mergeCell ref="F48:G48"/>
    <mergeCell ref="E45:F45"/>
    <mergeCell ref="G45:H45"/>
    <mergeCell ref="F46:G46"/>
    <mergeCell ref="C42:D42"/>
    <mergeCell ref="C43:D43"/>
    <mergeCell ref="C44:D44"/>
    <mergeCell ref="C18:D18"/>
    <mergeCell ref="C19:D19"/>
    <mergeCell ref="C20:D20"/>
    <mergeCell ref="C21:D21"/>
    <mergeCell ref="C22:D22"/>
    <mergeCell ref="C23:D23"/>
    <mergeCell ref="M25:M26"/>
    <mergeCell ref="N25:N26"/>
    <mergeCell ref="C40:D40"/>
    <mergeCell ref="C41:D41"/>
    <mergeCell ref="E26:E27"/>
    <mergeCell ref="C46:E46"/>
    <mergeCell ref="C48:E48"/>
    <mergeCell ref="C50:E50"/>
    <mergeCell ref="C52:E52"/>
    <mergeCell ref="C45:D45"/>
  </mergeCells>
  <printOptions horizontalCentered="1"/>
  <pageMargins left="0.19685039370078741" right="0.19685039370078741" top="0.15748031496062992" bottom="0.23622047244094491" header="0.31496062992125984" footer="0.23622047244094491"/>
  <pageSetup paperSize="9" scale="5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8"/>
    </sheetView>
  </sheetViews>
  <sheetFormatPr defaultColWidth="9.140625" defaultRowHeight="15.75" outlineLevelRow="1"/>
  <cols>
    <col min="1" max="1" width="2.85546875" style="3" customWidth="1"/>
    <col min="2" max="2" width="56.42578125" style="3" customWidth="1"/>
    <col min="3" max="3" width="21.7109375" style="82" customWidth="1"/>
    <col min="4" max="4" width="8.7109375" style="78" customWidth="1"/>
    <col min="5" max="5" width="10.28515625" style="78" customWidth="1"/>
    <col min="6" max="6" width="10" style="78" customWidth="1"/>
    <col min="7" max="7" width="10.28515625" style="3" customWidth="1"/>
    <col min="8" max="8" width="10.5703125" style="78" customWidth="1"/>
    <col min="9" max="9" width="10.7109375" style="3" bestFit="1" customWidth="1"/>
    <col min="10" max="10" width="12.140625" style="3" customWidth="1"/>
    <col min="11" max="11" width="13.85546875" style="3" customWidth="1"/>
    <col min="12" max="12" width="11.140625" style="3" customWidth="1"/>
    <col min="13" max="13" width="14.28515625" style="185" customWidth="1"/>
    <col min="14" max="14" width="17.71093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4.75" customHeight="1">
      <c r="A3" s="56"/>
      <c r="B3" s="231"/>
      <c r="C3" s="231"/>
      <c r="D3" s="231"/>
      <c r="E3" s="231"/>
      <c r="F3" s="231"/>
      <c r="G3" s="231"/>
      <c r="H3" s="231"/>
    </row>
    <row r="4" spans="1:9" ht="15" customHeight="1"/>
    <row r="5" spans="1:9">
      <c r="B5" s="8" t="s">
        <v>0</v>
      </c>
      <c r="C5" s="114"/>
      <c r="D5" s="233" t="s">
        <v>71</v>
      </c>
      <c r="E5" s="233"/>
    </row>
    <row r="6" spans="1:9">
      <c r="B6" s="8" t="s">
        <v>1</v>
      </c>
      <c r="C6" s="114"/>
      <c r="D6" s="217">
        <v>1959</v>
      </c>
      <c r="E6" s="217"/>
    </row>
    <row r="7" spans="1:9" hidden="1" outlineLevel="1">
      <c r="B7" s="8" t="s">
        <v>2</v>
      </c>
      <c r="C7" s="114"/>
      <c r="D7" s="217">
        <v>3</v>
      </c>
      <c r="E7" s="217"/>
    </row>
    <row r="8" spans="1:9" hidden="1" outlineLevel="1">
      <c r="B8" s="8" t="s">
        <v>3</v>
      </c>
      <c r="C8" s="114"/>
      <c r="D8" s="217">
        <v>20</v>
      </c>
      <c r="E8" s="217"/>
    </row>
    <row r="9" spans="1:9" ht="26.25" hidden="1" outlineLevel="1">
      <c r="B9" s="111" t="s">
        <v>4</v>
      </c>
      <c r="C9" s="115"/>
      <c r="D9" s="217" t="s">
        <v>72</v>
      </c>
      <c r="E9" s="217"/>
    </row>
    <row r="10" spans="1:9" collapsed="1">
      <c r="B10" s="8" t="s">
        <v>5</v>
      </c>
      <c r="C10" s="114"/>
      <c r="D10" s="217" t="s">
        <v>230</v>
      </c>
      <c r="E10" s="217"/>
      <c r="I10" s="14"/>
    </row>
    <row r="11" spans="1:9">
      <c r="B11" s="8" t="s">
        <v>6</v>
      </c>
      <c r="C11" s="114"/>
      <c r="D11" s="217" t="s">
        <v>271</v>
      </c>
      <c r="E11" s="217"/>
    </row>
    <row r="12" spans="1:9" ht="31.5" hidden="1" customHeight="1" outlineLevel="1">
      <c r="B12" s="11" t="s">
        <v>7</v>
      </c>
      <c r="C12" s="55"/>
      <c r="D12" s="87" t="s">
        <v>73</v>
      </c>
      <c r="E12" s="216"/>
      <c r="I12" s="14"/>
    </row>
    <row r="13" spans="1:9" collapsed="1">
      <c r="B13" s="11"/>
      <c r="C13" s="55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39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 ht="16.5" customHeight="1">
      <c r="B16" s="88" t="s">
        <v>14</v>
      </c>
      <c r="C16" s="238">
        <v>2679229.2535277451</v>
      </c>
      <c r="D16" s="239"/>
      <c r="E16" s="238">
        <v>1974695.004155111</v>
      </c>
      <c r="F16" s="239"/>
      <c r="G16" s="238">
        <v>704534.24937263399</v>
      </c>
      <c r="H16" s="240"/>
      <c r="I16" s="14"/>
    </row>
    <row r="17" spans="2:15">
      <c r="B17" s="89" t="s">
        <v>15</v>
      </c>
      <c r="C17" s="235">
        <v>2649893.7000000002</v>
      </c>
      <c r="D17" s="236"/>
      <c r="E17" s="235">
        <v>1965509.1727890451</v>
      </c>
      <c r="F17" s="236"/>
      <c r="G17" s="235">
        <v>684384.52721095481</v>
      </c>
      <c r="H17" s="237"/>
      <c r="I17" s="14"/>
    </row>
    <row r="18" spans="2:15" ht="16.5" thickBot="1">
      <c r="B18" s="90" t="s">
        <v>176</v>
      </c>
      <c r="C18" s="269">
        <v>2616458</v>
      </c>
      <c r="D18" s="270"/>
      <c r="E18" s="269">
        <v>1974695</v>
      </c>
      <c r="F18" s="270"/>
      <c r="G18" s="269">
        <v>641763</v>
      </c>
      <c r="H18" s="271"/>
      <c r="I18" s="14"/>
    </row>
    <row r="19" spans="2:15" ht="27.75" customHeight="1" thickBot="1">
      <c r="B19" s="92" t="s">
        <v>274</v>
      </c>
      <c r="C19" s="249">
        <f>E19+G19</f>
        <v>33435.699999999953</v>
      </c>
      <c r="D19" s="250"/>
      <c r="E19" s="251">
        <f>E17-E18</f>
        <v>-9185.8272109548561</v>
      </c>
      <c r="F19" s="252"/>
      <c r="G19" s="251">
        <f>G17-G18</f>
        <v>42621.52721095481</v>
      </c>
      <c r="H19" s="253"/>
      <c r="I19" s="14"/>
    </row>
    <row r="20" spans="2:15">
      <c r="B20" s="11"/>
      <c r="C20" s="61"/>
      <c r="D20" s="87"/>
      <c r="E20" s="216"/>
      <c r="I20" s="14"/>
    </row>
    <row r="21" spans="2:15" ht="20.2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5" ht="35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5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5">
        <v>284326.96000000002</v>
      </c>
      <c r="N23" s="205">
        <f>M23</f>
        <v>284326.96000000002</v>
      </c>
    </row>
    <row r="24" spans="2:15" ht="50.2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51017.744134312699</v>
      </c>
      <c r="G24" s="21">
        <f>$N$23/$N$24*E24</f>
        <v>51017.744134312699</v>
      </c>
      <c r="H24" s="22">
        <f>F24-G24</f>
        <v>0</v>
      </c>
      <c r="I24" s="23"/>
      <c r="J24" s="23"/>
      <c r="K24" s="24"/>
      <c r="L24" s="25"/>
      <c r="M24" s="205">
        <f>E33-E31</f>
        <v>19.060000000000002</v>
      </c>
      <c r="N24" s="205">
        <f>E33-E31</f>
        <v>19.060000000000002</v>
      </c>
      <c r="O24" s="14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 t="shared" ref="F25:F32" si="0">$M$23/$M$24*E25</f>
        <v>56686.382371458552</v>
      </c>
      <c r="G25" s="21">
        <f t="shared" ref="G25:G30" si="1">$N$23/$N$24*E25</f>
        <v>56686.382371458552</v>
      </c>
      <c r="H25" s="22">
        <f t="shared" ref="H25:H30" si="2">F25-G25</f>
        <v>0</v>
      </c>
      <c r="I25" s="23"/>
      <c r="J25" s="23"/>
      <c r="K25" s="2"/>
      <c r="L25" s="8"/>
      <c r="M25" s="188"/>
      <c r="N25" s="188"/>
      <c r="O25" s="200"/>
    </row>
    <row r="26" spans="2:15" ht="55.5" customHeight="1">
      <c r="B26" s="27" t="s">
        <v>171</v>
      </c>
      <c r="C26" s="6" t="s">
        <v>205</v>
      </c>
      <c r="D26" s="19" t="s">
        <v>188</v>
      </c>
      <c r="E26" s="94">
        <v>0.32</v>
      </c>
      <c r="F26" s="20">
        <f t="shared" si="0"/>
        <v>4773.5900944386149</v>
      </c>
      <c r="G26" s="21">
        <f t="shared" si="1"/>
        <v>4773.5900944386149</v>
      </c>
      <c r="H26" s="22">
        <f t="shared" si="2"/>
        <v>0</v>
      </c>
      <c r="I26" s="23"/>
      <c r="J26" s="23"/>
      <c r="L26" s="8"/>
      <c r="M26" s="193"/>
      <c r="N26" s="193"/>
      <c r="O26" s="8"/>
    </row>
    <row r="27" spans="2:15" ht="29.25" customHeight="1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si="0"/>
        <v>9547.1801888772297</v>
      </c>
      <c r="G27" s="21">
        <f t="shared" si="1"/>
        <v>9547.1801888772297</v>
      </c>
      <c r="H27" s="22">
        <f t="shared" si="2"/>
        <v>0</v>
      </c>
      <c r="I27" s="23"/>
      <c r="J27" s="23"/>
      <c r="L27" s="200"/>
      <c r="M27" s="188"/>
      <c r="N27" s="188"/>
      <c r="O27" s="200"/>
    </row>
    <row r="28" spans="2:15" ht="51">
      <c r="B28" s="26" t="s">
        <v>179</v>
      </c>
      <c r="C28" s="29" t="s">
        <v>211</v>
      </c>
      <c r="D28" s="19" t="s">
        <v>188</v>
      </c>
      <c r="E28" s="94">
        <v>1.89</v>
      </c>
      <c r="F28" s="20">
        <f t="shared" si="0"/>
        <v>28194.016495278069</v>
      </c>
      <c r="G28" s="21">
        <f t="shared" si="1"/>
        <v>28194.016495278069</v>
      </c>
      <c r="H28" s="22">
        <f t="shared" si="2"/>
        <v>0</v>
      </c>
      <c r="I28" s="23"/>
      <c r="J28" s="23"/>
    </row>
    <row r="29" spans="2:15" ht="259.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0"/>
        <v>106958.25305351522</v>
      </c>
      <c r="G29" s="21">
        <f t="shared" si="1"/>
        <v>106958.25305351522</v>
      </c>
      <c r="H29" s="22">
        <f t="shared" si="2"/>
        <v>0</v>
      </c>
      <c r="I29" s="23"/>
      <c r="J29" s="23"/>
      <c r="K29" s="2"/>
      <c r="L29" s="1"/>
      <c r="M29" s="186"/>
      <c r="N29" s="186"/>
    </row>
    <row r="30" spans="2:15" ht="106.5" customHeight="1">
      <c r="B30" s="26" t="s">
        <v>192</v>
      </c>
      <c r="C30" s="6" t="s">
        <v>205</v>
      </c>
      <c r="D30" s="19" t="s">
        <v>188</v>
      </c>
      <c r="E30" s="94">
        <v>0.35</v>
      </c>
      <c r="F30" s="20">
        <f t="shared" si="0"/>
        <v>5221.1141657922344</v>
      </c>
      <c r="G30" s="21">
        <f t="shared" si="1"/>
        <v>5221.1141657922344</v>
      </c>
      <c r="H30" s="22">
        <f t="shared" si="2"/>
        <v>0</v>
      </c>
      <c r="I30" s="23"/>
      <c r="J30" s="23"/>
    </row>
    <row r="31" spans="2:15" ht="56.25" customHeight="1">
      <c r="B31" s="27" t="s">
        <v>193</v>
      </c>
      <c r="C31" s="6" t="s">
        <v>205</v>
      </c>
      <c r="D31" s="19" t="s">
        <v>188</v>
      </c>
      <c r="E31" s="94">
        <v>4.55</v>
      </c>
      <c r="F31" s="20">
        <v>67874.48</v>
      </c>
      <c r="G31" s="4">
        <v>6028</v>
      </c>
      <c r="H31" s="22">
        <f>F31-G31</f>
        <v>61846.479999999996</v>
      </c>
      <c r="I31" s="23"/>
      <c r="J31" s="23"/>
      <c r="L31" s="14"/>
    </row>
    <row r="32" spans="2:15" ht="16.5" thickBot="1">
      <c r="B32" s="64" t="s">
        <v>173</v>
      </c>
      <c r="C32" s="49" t="s">
        <v>191</v>
      </c>
      <c r="D32" s="50" t="s">
        <v>188</v>
      </c>
      <c r="E32" s="95">
        <v>1.47</v>
      </c>
      <c r="F32" s="20">
        <f t="shared" si="0"/>
        <v>21928.679496327386</v>
      </c>
      <c r="G32" s="21">
        <f t="shared" ref="G32" si="3">$N$23/$N$24*E32</f>
        <v>21928.679496327386</v>
      </c>
      <c r="H32" s="30">
        <f>F32-G32</f>
        <v>0</v>
      </c>
      <c r="I32" s="23"/>
      <c r="J32" s="23"/>
    </row>
    <row r="33" spans="2:14" ht="16.5" thickBot="1">
      <c r="B33" s="63" t="s">
        <v>177</v>
      </c>
      <c r="C33" s="52"/>
      <c r="D33" s="52"/>
      <c r="E33" s="96">
        <f>SUM(E24:E32)</f>
        <v>23.610000000000003</v>
      </c>
      <c r="F33" s="53">
        <f>SUM(F24:F32)</f>
        <v>352201.43999999994</v>
      </c>
      <c r="G33" s="54">
        <f>SUM(G24:G32)</f>
        <v>290354.95999999996</v>
      </c>
      <c r="H33" s="35">
        <f>SUM(H24:H32)</f>
        <v>61846.479999999996</v>
      </c>
      <c r="I33" s="36"/>
      <c r="J33" s="36"/>
    </row>
    <row r="34" spans="2:14">
      <c r="B34" s="14"/>
      <c r="C34" s="14"/>
      <c r="D34" s="14"/>
      <c r="E34" s="82"/>
      <c r="F34" s="82"/>
      <c r="G34" s="82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3031430.6935277451</v>
      </c>
      <c r="D37" s="239"/>
      <c r="E37" s="263">
        <f>F24+F25+F26+F27+F28+F29+F30+F32+E16</f>
        <v>2259021.964155111</v>
      </c>
      <c r="F37" s="264"/>
      <c r="G37" s="263">
        <f>F31+G16</f>
        <v>772408.72937263397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3002100.67</v>
      </c>
      <c r="D38" s="236"/>
      <c r="E38" s="235">
        <f>E17+284331.42</f>
        <v>2249840.5927890451</v>
      </c>
      <c r="F38" s="236"/>
      <c r="G38" s="235">
        <f>G17+67875.55</f>
        <v>752260.07721095486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2906812.96</v>
      </c>
      <c r="D39" s="270"/>
      <c r="E39" s="260">
        <f>G24+G25+G26+G27+G28+G29+G30+G32+E18</f>
        <v>2259021.96</v>
      </c>
      <c r="F39" s="261"/>
      <c r="G39" s="260">
        <f>G31+G18</f>
        <v>647791</v>
      </c>
      <c r="H39" s="262"/>
      <c r="I39" s="222"/>
      <c r="J39" s="222"/>
      <c r="K39" s="41"/>
      <c r="L39" s="41"/>
    </row>
    <row r="40" spans="2:14" ht="32.25" customHeight="1" thickBot="1">
      <c r="B40" s="92" t="s">
        <v>275</v>
      </c>
      <c r="C40" s="249">
        <f>E40+G40</f>
        <v>95287.709999999963</v>
      </c>
      <c r="D40" s="250"/>
      <c r="E40" s="251">
        <f>E38-E39</f>
        <v>-9181.3672109548934</v>
      </c>
      <c r="F40" s="252"/>
      <c r="G40" s="251">
        <f>G38-G39</f>
        <v>104469.07721095486</v>
      </c>
      <c r="H40" s="253"/>
      <c r="I40" s="222"/>
      <c r="J40" s="222"/>
      <c r="K40" s="41"/>
      <c r="L40" s="41"/>
    </row>
    <row r="41" spans="2:14" ht="13.5" customHeight="1">
      <c r="B41" s="79"/>
      <c r="C41" s="100"/>
      <c r="D41" s="100"/>
      <c r="E41" s="101"/>
      <c r="F41" s="81"/>
      <c r="G41" s="81"/>
      <c r="H41" s="219"/>
      <c r="I41" s="219"/>
      <c r="J41" s="219"/>
      <c r="K41" s="2"/>
      <c r="L41" s="2"/>
      <c r="M41" s="186"/>
      <c r="N41" s="186"/>
    </row>
    <row r="42" spans="2:14" ht="18" customHeight="1">
      <c r="B42" s="219" t="s">
        <v>167</v>
      </c>
      <c r="C42" s="266" t="s">
        <v>284</v>
      </c>
      <c r="D42" s="266"/>
      <c r="E42" s="266"/>
      <c r="F42" s="267" t="s">
        <v>293</v>
      </c>
      <c r="G42" s="267"/>
      <c r="H42" s="218"/>
      <c r="I42" s="218"/>
      <c r="J42" s="218"/>
      <c r="K42" s="2"/>
      <c r="L42" s="2"/>
      <c r="M42" s="186"/>
      <c r="N42" s="186"/>
    </row>
    <row r="43" spans="2:14" ht="11.25" customHeight="1">
      <c r="B43" s="219"/>
      <c r="C43" s="219"/>
      <c r="D43" s="219"/>
      <c r="E43" s="220"/>
      <c r="F43" s="259"/>
      <c r="G43" s="259"/>
      <c r="H43" s="219"/>
      <c r="I43" s="219"/>
      <c r="J43" s="219"/>
      <c r="K43" s="2"/>
      <c r="L43" s="2"/>
      <c r="M43" s="186"/>
      <c r="N43" s="186"/>
    </row>
    <row r="44" spans="2:14" ht="14.25" customHeight="1">
      <c r="B44" s="219" t="s">
        <v>168</v>
      </c>
      <c r="C44" s="266" t="s">
        <v>284</v>
      </c>
      <c r="D44" s="266"/>
      <c r="E44" s="266"/>
      <c r="F44" s="267" t="s">
        <v>195</v>
      </c>
      <c r="G44" s="267"/>
      <c r="H44" s="219"/>
      <c r="I44" s="219"/>
      <c r="J44" s="219"/>
    </row>
    <row r="45" spans="2:14" ht="7.5" customHeight="1">
      <c r="B45" s="219"/>
      <c r="C45" s="219"/>
      <c r="D45" s="219"/>
      <c r="E45" s="220"/>
      <c r="F45" s="267"/>
      <c r="G45" s="267"/>
      <c r="H45" s="219"/>
      <c r="I45" s="219"/>
      <c r="J45" s="219"/>
    </row>
    <row r="46" spans="2:14" ht="15" customHeight="1">
      <c r="B46" s="219" t="s">
        <v>169</v>
      </c>
      <c r="C46" s="266" t="s">
        <v>284</v>
      </c>
      <c r="D46" s="266"/>
      <c r="E46" s="266"/>
      <c r="F46" s="267" t="s">
        <v>294</v>
      </c>
      <c r="G46" s="267"/>
      <c r="H46" s="45"/>
      <c r="I46" s="45"/>
      <c r="J46" s="45"/>
    </row>
    <row r="47" spans="2:14" ht="9" customHeight="1">
      <c r="B47" s="42"/>
      <c r="C47" s="42"/>
      <c r="D47" s="42"/>
      <c r="E47" s="220"/>
      <c r="F47" s="43"/>
      <c r="G47" s="44"/>
      <c r="H47" s="3"/>
    </row>
    <row r="48" spans="2:14" ht="15.75" customHeight="1">
      <c r="B48" s="219" t="s">
        <v>170</v>
      </c>
      <c r="C48" s="266" t="s">
        <v>284</v>
      </c>
      <c r="D48" s="266"/>
      <c r="E48" s="266"/>
      <c r="F48" s="267" t="s">
        <v>294</v>
      </c>
      <c r="G48" s="267"/>
    </row>
  </sheetData>
  <mergeCells count="54">
    <mergeCell ref="C44:E44"/>
    <mergeCell ref="C46:E46"/>
    <mergeCell ref="F46:G46"/>
    <mergeCell ref="C48:E48"/>
    <mergeCell ref="F48:G48"/>
    <mergeCell ref="F44:G44"/>
    <mergeCell ref="F45:G45"/>
    <mergeCell ref="G40:H40"/>
    <mergeCell ref="C42:E42"/>
    <mergeCell ref="C39:D39"/>
    <mergeCell ref="C40:D40"/>
    <mergeCell ref="C18:D18"/>
    <mergeCell ref="C19:D19"/>
    <mergeCell ref="C36:D36"/>
    <mergeCell ref="C37:D37"/>
    <mergeCell ref="C38:D38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C15:D15"/>
    <mergeCell ref="C16:D16"/>
    <mergeCell ref="C17:D17"/>
    <mergeCell ref="E16:F16"/>
    <mergeCell ref="G16:H16"/>
    <mergeCell ref="E17:F17"/>
    <mergeCell ref="G17:H17"/>
    <mergeCell ref="F43:G43"/>
    <mergeCell ref="B35:H35"/>
    <mergeCell ref="E36:F36"/>
    <mergeCell ref="G36:H36"/>
    <mergeCell ref="E37:F37"/>
    <mergeCell ref="G37:H37"/>
    <mergeCell ref="E38:F38"/>
    <mergeCell ref="G38:H38"/>
    <mergeCell ref="E39:F39"/>
    <mergeCell ref="G39:H39"/>
    <mergeCell ref="F42:G42"/>
    <mergeCell ref="E40:F40"/>
    <mergeCell ref="M21:M22"/>
    <mergeCell ref="N21:N22"/>
    <mergeCell ref="E18:F18"/>
    <mergeCell ref="G18:H18"/>
    <mergeCell ref="E19:F19"/>
    <mergeCell ref="G19:H19"/>
  </mergeCells>
  <printOptions horizontalCentered="1"/>
  <pageMargins left="0.19685039370078741" right="0.19685039370078741" top="0.31496062992125984" bottom="0.23622047244094491" header="0.31496062992125984" footer="0.31496062992125984"/>
  <pageSetup paperSize="9" scale="4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O49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42578125" style="3" customWidth="1"/>
    <col min="3" max="3" width="21.5703125" style="78" customWidth="1"/>
    <col min="4" max="4" width="8.28515625" style="78" customWidth="1"/>
    <col min="5" max="5" width="10" style="78" customWidth="1"/>
    <col min="6" max="6" width="9.85546875" style="3" customWidth="1"/>
    <col min="7" max="7" width="10.28515625" style="3" customWidth="1"/>
    <col min="8" max="8" width="11" style="78" customWidth="1"/>
    <col min="9" max="9" width="10.7109375" style="3" bestFit="1" customWidth="1"/>
    <col min="10" max="11" width="11.7109375" style="3" customWidth="1"/>
    <col min="12" max="12" width="9.140625" style="3"/>
    <col min="13" max="13" width="14.28515625" style="185" customWidth="1"/>
    <col min="14" max="14" width="14.5703125" style="185" customWidth="1"/>
    <col min="15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1" customHeight="1">
      <c r="B3" s="231"/>
      <c r="C3" s="231"/>
      <c r="D3" s="231"/>
      <c r="E3" s="231"/>
      <c r="F3" s="231"/>
      <c r="G3" s="231"/>
      <c r="H3" s="231"/>
      <c r="I3" s="56"/>
    </row>
    <row r="4" spans="2:9" ht="16.5" customHeight="1"/>
    <row r="5" spans="2:9">
      <c r="B5" s="8" t="s">
        <v>0</v>
      </c>
      <c r="C5" s="45"/>
      <c r="D5" s="233" t="s">
        <v>74</v>
      </c>
      <c r="E5" s="233"/>
    </row>
    <row r="6" spans="2:9">
      <c r="B6" s="8" t="s">
        <v>1</v>
      </c>
      <c r="C6" s="45"/>
      <c r="D6" s="217">
        <v>1959</v>
      </c>
      <c r="E6" s="217"/>
    </row>
    <row r="7" spans="2:9" hidden="1" outlineLevel="1">
      <c r="B7" s="8" t="s">
        <v>2</v>
      </c>
      <c r="C7" s="45"/>
      <c r="D7" s="217">
        <v>2</v>
      </c>
      <c r="E7" s="217"/>
    </row>
    <row r="8" spans="2:9" hidden="1" outlineLevel="1">
      <c r="B8" s="8" t="s">
        <v>3</v>
      </c>
      <c r="C8" s="45"/>
      <c r="D8" s="217">
        <v>10</v>
      </c>
      <c r="E8" s="217"/>
    </row>
    <row r="9" spans="2:9" ht="30.75" hidden="1" customHeight="1" outlineLevel="1">
      <c r="B9" s="111" t="s">
        <v>4</v>
      </c>
      <c r="C9" s="122"/>
      <c r="D9" s="217" t="s">
        <v>75</v>
      </c>
      <c r="E9" s="217"/>
    </row>
    <row r="10" spans="2:9" collapsed="1">
      <c r="B10" s="8" t="s">
        <v>5</v>
      </c>
      <c r="C10" s="45"/>
      <c r="D10" s="217" t="s">
        <v>231</v>
      </c>
      <c r="E10" s="217"/>
      <c r="I10" s="14"/>
    </row>
    <row r="11" spans="2:9" hidden="1" outlineLevel="1">
      <c r="B11" s="3" t="s">
        <v>6</v>
      </c>
      <c r="D11" s="216" t="s">
        <v>76</v>
      </c>
      <c r="E11" s="216"/>
    </row>
    <row r="12" spans="2:9" ht="30.75" hidden="1" customHeight="1" outlineLevel="1">
      <c r="B12" s="11" t="s">
        <v>7</v>
      </c>
      <c r="C12" s="76"/>
      <c r="D12" s="87" t="s">
        <v>77</v>
      </c>
      <c r="E12" s="216"/>
      <c r="I12" s="14"/>
    </row>
    <row r="13" spans="2:9" collapsed="1">
      <c r="B13" s="11"/>
      <c r="C13" s="76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6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>
      <c r="B16" s="88" t="s">
        <v>14</v>
      </c>
      <c r="C16" s="238">
        <v>1327573.803780311</v>
      </c>
      <c r="D16" s="273"/>
      <c r="E16" s="263">
        <v>916660.50793817663</v>
      </c>
      <c r="F16" s="264"/>
      <c r="G16" s="263">
        <v>410913.29584213445</v>
      </c>
      <c r="H16" s="265"/>
      <c r="I16" s="14"/>
    </row>
    <row r="17" spans="2:15">
      <c r="B17" s="89" t="s">
        <v>15</v>
      </c>
      <c r="C17" s="235">
        <v>1325206.42</v>
      </c>
      <c r="D17" s="236"/>
      <c r="E17" s="235">
        <v>926439.8899999999</v>
      </c>
      <c r="F17" s="236"/>
      <c r="G17" s="235">
        <v>398766.53</v>
      </c>
      <c r="H17" s="237"/>
      <c r="I17" s="14"/>
    </row>
    <row r="18" spans="2:15" ht="16.5" thickBot="1">
      <c r="B18" s="90" t="s">
        <v>176</v>
      </c>
      <c r="C18" s="235">
        <v>1280217.51</v>
      </c>
      <c r="D18" s="236"/>
      <c r="E18" s="260">
        <v>916660.51</v>
      </c>
      <c r="F18" s="261"/>
      <c r="G18" s="260">
        <v>363557</v>
      </c>
      <c r="H18" s="262"/>
      <c r="I18" s="14"/>
    </row>
    <row r="19" spans="2:15" ht="33" customHeight="1" thickBot="1">
      <c r="B19" s="92" t="s">
        <v>274</v>
      </c>
      <c r="C19" s="249">
        <f>E19+G19</f>
        <v>44988.909999999916</v>
      </c>
      <c r="D19" s="250"/>
      <c r="E19" s="251">
        <f>E17-E18</f>
        <v>9779.3799999998882</v>
      </c>
      <c r="F19" s="252"/>
      <c r="G19" s="251">
        <f>G17-G18</f>
        <v>35209.530000000028</v>
      </c>
      <c r="H19" s="253"/>
      <c r="I19" s="14"/>
    </row>
    <row r="20" spans="2:15">
      <c r="B20" s="11"/>
      <c r="C20" s="61"/>
      <c r="D20" s="87"/>
      <c r="E20" s="216"/>
      <c r="F20" s="78"/>
      <c r="I20" s="14"/>
    </row>
    <row r="21" spans="2:15" ht="21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5" ht="35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5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138551.79</v>
      </c>
      <c r="N23" s="204">
        <f>M23</f>
        <v>138551.79</v>
      </c>
    </row>
    <row r="24" spans="2:15" ht="50.2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27201.327313432834</v>
      </c>
      <c r="G24" s="21">
        <f>$N$23/$N$24*E24</f>
        <v>27201.327313432834</v>
      </c>
      <c r="H24" s="22">
        <f>F24-G24</f>
        <v>0</v>
      </c>
      <c r="I24" s="23"/>
      <c r="J24" s="23"/>
      <c r="K24" s="24"/>
      <c r="L24" s="25"/>
      <c r="M24" s="205">
        <f>E33-E31</f>
        <v>17.420000000000002</v>
      </c>
      <c r="N24" s="205">
        <f>E33-E31</f>
        <v>17.420000000000002</v>
      </c>
      <c r="O24" s="14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 t="shared" ref="F25:F32" si="0">$M$23/$M$24*E25</f>
        <v>30223.697014925368</v>
      </c>
      <c r="G25" s="21">
        <f t="shared" ref="G25:G30" si="1">$N$23/$N$24*E25</f>
        <v>30223.697014925368</v>
      </c>
      <c r="H25" s="22">
        <f t="shared" ref="H25:H30" si="2">F25-G25</f>
        <v>0</v>
      </c>
      <c r="I25" s="23"/>
      <c r="J25" s="23"/>
      <c r="K25" s="2"/>
      <c r="L25" s="8"/>
      <c r="M25" s="188"/>
      <c r="N25" s="188"/>
      <c r="O25" s="200"/>
    </row>
    <row r="26" spans="2:15" ht="55.5" customHeight="1">
      <c r="B26" s="27" t="s">
        <v>171</v>
      </c>
      <c r="C26" s="6" t="s">
        <v>205</v>
      </c>
      <c r="D26" s="19" t="s">
        <v>188</v>
      </c>
      <c r="E26" s="94">
        <v>0.32</v>
      </c>
      <c r="F26" s="20">
        <f t="shared" si="0"/>
        <v>2545.1534328358207</v>
      </c>
      <c r="G26" s="21">
        <f t="shared" si="1"/>
        <v>2545.1534328358207</v>
      </c>
      <c r="H26" s="22">
        <f t="shared" si="2"/>
        <v>0</v>
      </c>
      <c r="I26" s="23"/>
      <c r="J26" s="23"/>
      <c r="L26" s="8"/>
      <c r="M26" s="193"/>
      <c r="N26" s="193"/>
      <c r="O26" s="8"/>
    </row>
    <row r="27" spans="2:15" ht="29.25" customHeight="1">
      <c r="B27" s="27" t="s">
        <v>172</v>
      </c>
      <c r="C27" s="28" t="s">
        <v>190</v>
      </c>
      <c r="D27" s="19" t="s">
        <v>188</v>
      </c>
      <c r="E27" s="94">
        <v>0.57999999999999996</v>
      </c>
      <c r="F27" s="20">
        <f t="shared" si="0"/>
        <v>4613.0905970149252</v>
      </c>
      <c r="G27" s="21">
        <f t="shared" si="1"/>
        <v>4613.0905970149252</v>
      </c>
      <c r="H27" s="22">
        <f t="shared" si="2"/>
        <v>0</v>
      </c>
      <c r="I27" s="23"/>
      <c r="J27" s="23"/>
      <c r="L27" s="200"/>
      <c r="M27" s="188"/>
      <c r="N27" s="188"/>
      <c r="O27" s="200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si="0"/>
        <v>12089.478805970148</v>
      </c>
      <c r="G28" s="21">
        <f t="shared" si="1"/>
        <v>12089.478805970148</v>
      </c>
      <c r="H28" s="22">
        <f t="shared" si="2"/>
        <v>0</v>
      </c>
      <c r="I28" s="23"/>
      <c r="J28" s="23"/>
    </row>
    <row r="29" spans="2:15" ht="215.25" customHeight="1">
      <c r="B29" s="26" t="s">
        <v>204</v>
      </c>
      <c r="C29" s="29" t="s">
        <v>191</v>
      </c>
      <c r="D29" s="19" t="s">
        <v>188</v>
      </c>
      <c r="E29" s="94">
        <v>6.54</v>
      </c>
      <c r="F29" s="20">
        <f t="shared" si="0"/>
        <v>52016.573283582089</v>
      </c>
      <c r="G29" s="21">
        <f t="shared" si="1"/>
        <v>52016.573283582089</v>
      </c>
      <c r="H29" s="22">
        <f t="shared" si="2"/>
        <v>0</v>
      </c>
      <c r="I29" s="23"/>
      <c r="J29" s="23"/>
      <c r="K29" s="2"/>
      <c r="L29" s="1"/>
      <c r="M29" s="186"/>
      <c r="N29" s="186"/>
    </row>
    <row r="30" spans="2:15" ht="109.5" customHeight="1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0"/>
        <v>2386.0813432835816</v>
      </c>
      <c r="G30" s="21">
        <f t="shared" si="1"/>
        <v>2386.0813432835816</v>
      </c>
      <c r="H30" s="22">
        <f t="shared" si="2"/>
        <v>0</v>
      </c>
      <c r="I30" s="23"/>
      <c r="J30" s="23"/>
    </row>
    <row r="31" spans="2:15" ht="56.25" customHeight="1">
      <c r="B31" s="27" t="s">
        <v>193</v>
      </c>
      <c r="C31" s="6" t="s">
        <v>205</v>
      </c>
      <c r="D31" s="19" t="s">
        <v>188</v>
      </c>
      <c r="E31" s="94">
        <v>5.55</v>
      </c>
      <c r="F31" s="20">
        <v>44142.51</v>
      </c>
      <c r="G31" s="4">
        <v>7379</v>
      </c>
      <c r="H31" s="22">
        <f>F31-G31</f>
        <v>36763.51</v>
      </c>
      <c r="I31" s="23"/>
      <c r="J31" s="23"/>
      <c r="L31" s="14"/>
    </row>
    <row r="32" spans="2:15" ht="16.5" thickBot="1">
      <c r="B32" s="64" t="s">
        <v>173</v>
      </c>
      <c r="C32" s="49" t="s">
        <v>191</v>
      </c>
      <c r="D32" s="50" t="s">
        <v>188</v>
      </c>
      <c r="E32" s="95">
        <v>0.94</v>
      </c>
      <c r="F32" s="20">
        <f t="shared" si="0"/>
        <v>7476.3882089552226</v>
      </c>
      <c r="G32" s="21">
        <f t="shared" ref="G32" si="3">$N$23/$N$24*E32</f>
        <v>7476.3882089552226</v>
      </c>
      <c r="H32" s="30">
        <f>F32-G32</f>
        <v>0</v>
      </c>
      <c r="I32" s="23"/>
      <c r="J32" s="23"/>
    </row>
    <row r="33" spans="2:14" ht="16.5" thickBot="1">
      <c r="B33" s="63" t="s">
        <v>177</v>
      </c>
      <c r="C33" s="52"/>
      <c r="D33" s="52"/>
      <c r="E33" s="96">
        <f>SUM(E24:E32)</f>
        <v>22.970000000000002</v>
      </c>
      <c r="F33" s="53">
        <f>SUM(F24:F32)</f>
        <v>182694.30000000002</v>
      </c>
      <c r="G33" s="54">
        <f>SUM(G24:G32)</f>
        <v>145930.79</v>
      </c>
      <c r="H33" s="35">
        <f>SUM(H24:H32)</f>
        <v>36763.51</v>
      </c>
      <c r="I33" s="36"/>
      <c r="J33" s="36"/>
    </row>
    <row r="34" spans="2:14">
      <c r="B34" s="14"/>
      <c r="C34" s="14"/>
      <c r="D34" s="14"/>
      <c r="E34" s="82"/>
      <c r="F34" s="82"/>
      <c r="G34" s="82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1510268.1037803111</v>
      </c>
      <c r="D37" s="239"/>
      <c r="E37" s="263">
        <f>F24+F25+F26+F27+F28+F29+F30+F32+E16</f>
        <v>1055212.2979381767</v>
      </c>
      <c r="F37" s="264"/>
      <c r="G37" s="263">
        <f>F31+G16</f>
        <v>455055.80584213446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1533635.9100000001</v>
      </c>
      <c r="D38" s="236"/>
      <c r="E38" s="235">
        <f>E17+158068.86</f>
        <v>1084508.75</v>
      </c>
      <c r="F38" s="236"/>
      <c r="G38" s="235">
        <f>G17+50360.63</f>
        <v>449127.16000000003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1426148.3</v>
      </c>
      <c r="D39" s="270"/>
      <c r="E39" s="260">
        <f>G24+G25+G26+G27+G28+G29+G30+G32+E18</f>
        <v>1055212.3</v>
      </c>
      <c r="F39" s="261"/>
      <c r="G39" s="260">
        <f>G31+G18</f>
        <v>370936</v>
      </c>
      <c r="H39" s="262"/>
      <c r="I39" s="222"/>
      <c r="J39" s="222"/>
      <c r="K39" s="41"/>
      <c r="L39" s="41"/>
    </row>
    <row r="40" spans="2:14" ht="36.75" thickBot="1">
      <c r="B40" s="92" t="s">
        <v>275</v>
      </c>
      <c r="C40" s="249">
        <f>E40+G40</f>
        <v>107487.60999999999</v>
      </c>
      <c r="D40" s="250"/>
      <c r="E40" s="251">
        <f>E38-E39</f>
        <v>29296.449999999953</v>
      </c>
      <c r="F40" s="252"/>
      <c r="G40" s="251">
        <f>G38-G39</f>
        <v>78191.160000000033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3"/>
    </row>
    <row r="48" spans="2:14" ht="9.75" customHeight="1">
      <c r="C48" s="82"/>
      <c r="E48" s="220"/>
      <c r="F48" s="78"/>
    </row>
    <row r="49" spans="3:6">
      <c r="C49" s="82"/>
      <c r="F49" s="78"/>
    </row>
  </sheetData>
  <mergeCells count="54">
    <mergeCell ref="C18:D18"/>
    <mergeCell ref="C19:D19"/>
    <mergeCell ref="C36:D36"/>
    <mergeCell ref="C37:D37"/>
    <mergeCell ref="C38:D38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B14:H14"/>
    <mergeCell ref="E15:F15"/>
    <mergeCell ref="G15:H15"/>
    <mergeCell ref="D5:E5"/>
    <mergeCell ref="C15:D15"/>
    <mergeCell ref="C16:D16"/>
    <mergeCell ref="C17:D17"/>
    <mergeCell ref="E16:F16"/>
    <mergeCell ref="G16:H16"/>
    <mergeCell ref="E17:F17"/>
    <mergeCell ref="G17:H17"/>
    <mergeCell ref="F42:G42"/>
    <mergeCell ref="E38:F38"/>
    <mergeCell ref="G38:H38"/>
    <mergeCell ref="F41:G41"/>
    <mergeCell ref="B35:H35"/>
    <mergeCell ref="E36:F36"/>
    <mergeCell ref="G36:H36"/>
    <mergeCell ref="E37:F37"/>
    <mergeCell ref="G37:H37"/>
    <mergeCell ref="E39:F39"/>
    <mergeCell ref="G39:H39"/>
    <mergeCell ref="E40:F40"/>
    <mergeCell ref="N21:N22"/>
    <mergeCell ref="E18:F18"/>
    <mergeCell ref="G18:H18"/>
    <mergeCell ref="E19:F19"/>
    <mergeCell ref="G19:H19"/>
    <mergeCell ref="C41:E41"/>
    <mergeCell ref="C43:E43"/>
    <mergeCell ref="C45:E45"/>
    <mergeCell ref="C47:E47"/>
    <mergeCell ref="M21:M22"/>
    <mergeCell ref="F47:G47"/>
    <mergeCell ref="F43:G43"/>
    <mergeCell ref="F44:G44"/>
    <mergeCell ref="F45:G45"/>
    <mergeCell ref="G40:H40"/>
    <mergeCell ref="C39:D39"/>
    <mergeCell ref="C40:D40"/>
  </mergeCells>
  <printOptions horizontalCentered="1"/>
  <pageMargins left="0.19685039370078741" right="0.19685039370078741" top="0.15748031496062992" bottom="0.23622047244094491" header="0.15748031496062992" footer="0.23622047244094491"/>
  <pageSetup paperSize="9" scale="4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5.85546875" style="3" customWidth="1"/>
    <col min="3" max="3" width="22" style="60" customWidth="1"/>
    <col min="4" max="4" width="9.5703125" style="78" customWidth="1"/>
    <col min="5" max="5" width="10.28515625" style="78" customWidth="1"/>
    <col min="6" max="6" width="9.42578125" style="3" customWidth="1"/>
    <col min="7" max="7" width="10.42578125" style="3" customWidth="1"/>
    <col min="8" max="8" width="10.5703125" style="3" customWidth="1"/>
    <col min="9" max="9" width="10.7109375" style="3" bestFit="1" customWidth="1"/>
    <col min="10" max="11" width="9.140625" style="3"/>
    <col min="12" max="12" width="11" style="3" customWidth="1"/>
    <col min="13" max="13" width="13.28515625" style="185" customWidth="1"/>
    <col min="14" max="14" width="13.7109375" style="185" customWidth="1"/>
    <col min="15" max="15" width="9.42578125" style="3" bestFit="1" customWidth="1"/>
    <col min="16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2.5" customHeight="1">
      <c r="B3" s="231"/>
      <c r="C3" s="231"/>
      <c r="D3" s="231"/>
      <c r="E3" s="231"/>
      <c r="F3" s="231"/>
      <c r="G3" s="231"/>
      <c r="H3" s="231"/>
      <c r="I3" s="56"/>
    </row>
    <row r="4" spans="2:9" ht="8.25" customHeight="1"/>
    <row r="5" spans="2:9">
      <c r="B5" s="8" t="s">
        <v>0</v>
      </c>
      <c r="C5" s="116"/>
      <c r="D5" s="233" t="s">
        <v>78</v>
      </c>
      <c r="E5" s="233"/>
    </row>
    <row r="6" spans="2:9">
      <c r="B6" s="8" t="s">
        <v>1</v>
      </c>
      <c r="C6" s="116"/>
      <c r="D6" s="217">
        <v>1956</v>
      </c>
      <c r="E6" s="217"/>
    </row>
    <row r="7" spans="2:9" hidden="1" outlineLevel="1">
      <c r="B7" s="8" t="s">
        <v>2</v>
      </c>
      <c r="C7" s="116"/>
      <c r="D7" s="217">
        <v>2</v>
      </c>
      <c r="E7" s="217"/>
    </row>
    <row r="8" spans="2:9" hidden="1" outlineLevel="1">
      <c r="B8" s="8" t="s">
        <v>3</v>
      </c>
      <c r="C8" s="116"/>
      <c r="D8" s="217">
        <v>12</v>
      </c>
      <c r="E8" s="217"/>
    </row>
    <row r="9" spans="2:9" ht="30.75" hidden="1" customHeight="1" outlineLevel="1">
      <c r="B9" s="111" t="s">
        <v>4</v>
      </c>
      <c r="C9" s="117"/>
      <c r="D9" s="217" t="s">
        <v>79</v>
      </c>
      <c r="E9" s="217"/>
    </row>
    <row r="10" spans="2:9" collapsed="1">
      <c r="B10" s="8" t="s">
        <v>5</v>
      </c>
      <c r="C10" s="116"/>
      <c r="D10" s="217" t="s">
        <v>232</v>
      </c>
      <c r="E10" s="217"/>
      <c r="I10" s="14"/>
    </row>
    <row r="11" spans="2:9" hidden="1" outlineLevel="1">
      <c r="B11" s="3" t="s">
        <v>6</v>
      </c>
      <c r="D11" s="216" t="s">
        <v>12</v>
      </c>
      <c r="E11" s="216"/>
    </row>
    <row r="12" spans="2:9" ht="30.75" hidden="1" customHeight="1" outlineLevel="1">
      <c r="B12" s="11" t="s">
        <v>7</v>
      </c>
      <c r="C12" s="61"/>
      <c r="D12" s="87" t="s">
        <v>58</v>
      </c>
      <c r="E12" s="216"/>
      <c r="I12" s="14"/>
    </row>
    <row r="13" spans="2:9" ht="8.25" customHeight="1" collapsed="1">
      <c r="B13" s="11"/>
      <c r="C13" s="61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5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>
      <c r="B16" s="88" t="s">
        <v>14</v>
      </c>
      <c r="C16" s="238">
        <v>1394818.4821285803</v>
      </c>
      <c r="D16" s="273"/>
      <c r="E16" s="263">
        <v>993793.86212858034</v>
      </c>
      <c r="F16" s="264"/>
      <c r="G16" s="263">
        <v>401024.61999999994</v>
      </c>
      <c r="H16" s="265"/>
      <c r="I16" s="14"/>
    </row>
    <row r="17" spans="2:14">
      <c r="B17" s="89" t="s">
        <v>15</v>
      </c>
      <c r="C17" s="235">
        <v>1393353.14</v>
      </c>
      <c r="D17" s="236"/>
      <c r="E17" s="235">
        <v>997353.17999999993</v>
      </c>
      <c r="F17" s="236"/>
      <c r="G17" s="235">
        <v>395999.95999999996</v>
      </c>
      <c r="H17" s="237"/>
      <c r="I17" s="14"/>
    </row>
    <row r="18" spans="2:14" ht="16.5" thickBot="1">
      <c r="B18" s="90" t="s">
        <v>176</v>
      </c>
      <c r="C18" s="235">
        <v>1325807.8600000001</v>
      </c>
      <c r="D18" s="236"/>
      <c r="E18" s="260">
        <v>993793.86</v>
      </c>
      <c r="F18" s="261"/>
      <c r="G18" s="260">
        <v>332014</v>
      </c>
      <c r="H18" s="262"/>
      <c r="I18" s="14"/>
    </row>
    <row r="19" spans="2:14" ht="30.75" customHeight="1" thickBot="1">
      <c r="B19" s="92" t="s">
        <v>274</v>
      </c>
      <c r="C19" s="249">
        <f>E19+G19</f>
        <v>67545.279999999912</v>
      </c>
      <c r="D19" s="250"/>
      <c r="E19" s="251">
        <f>E17-E18</f>
        <v>3559.3199999999488</v>
      </c>
      <c r="F19" s="252"/>
      <c r="G19" s="251">
        <f>G17-G18</f>
        <v>63985.959999999963</v>
      </c>
      <c r="H19" s="253"/>
      <c r="I19" s="14"/>
    </row>
    <row r="20" spans="2:14">
      <c r="B20" s="11"/>
      <c r="C20" s="61"/>
      <c r="D20" s="87"/>
      <c r="E20" s="216"/>
      <c r="F20" s="78"/>
      <c r="H20" s="78"/>
      <c r="I20" s="14"/>
    </row>
    <row r="21" spans="2:14" ht="19.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35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137986.57999999999</v>
      </c>
      <c r="N23" s="204">
        <f>M23</f>
        <v>137986.57999999999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3.45</v>
      </c>
      <c r="F24" s="20">
        <f>$M$23/$M$24*E24</f>
        <v>25858.430255296036</v>
      </c>
      <c r="G24" s="21">
        <f>$N$23/$N$24*E24</f>
        <v>25858.430255296036</v>
      </c>
      <c r="H24" s="22">
        <f>F24-G24</f>
        <v>0</v>
      </c>
      <c r="I24" s="23"/>
      <c r="J24" s="23"/>
      <c r="K24" s="24"/>
      <c r="L24" s="25"/>
      <c r="M24" s="205">
        <f>E33-E31</f>
        <v>18.409999999999997</v>
      </c>
      <c r="N24" s="205">
        <f>E33-E31</f>
        <v>18.409999999999997</v>
      </c>
    </row>
    <row r="25" spans="2:14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28481.749266702878</v>
      </c>
      <c r="G25" s="21">
        <f>$N$23/$N$24*E25</f>
        <v>28481.749266702878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5.5" customHeight="1">
      <c r="B26" s="27" t="s">
        <v>171</v>
      </c>
      <c r="C26" s="6" t="s">
        <v>205</v>
      </c>
      <c r="D26" s="19" t="s">
        <v>188</v>
      </c>
      <c r="E26" s="94">
        <v>0.32</v>
      </c>
      <c r="F26" s="20">
        <f t="shared" ref="F26:F32" si="1">$M$23/$M$24*E26</f>
        <v>2398.4630961434004</v>
      </c>
      <c r="G26" s="21">
        <f t="shared" ref="G26:G29" si="2">$N$23/$N$24*E26</f>
        <v>2398.4630961434004</v>
      </c>
      <c r="H26" s="22">
        <f t="shared" si="0"/>
        <v>0</v>
      </c>
      <c r="I26" s="23"/>
      <c r="J26" s="23"/>
      <c r="L26" s="14"/>
    </row>
    <row r="27" spans="2:14" ht="29.25" customHeight="1">
      <c r="B27" s="27" t="s">
        <v>172</v>
      </c>
      <c r="C27" s="28" t="s">
        <v>190</v>
      </c>
      <c r="D27" s="19" t="s">
        <v>188</v>
      </c>
      <c r="E27" s="94">
        <v>0.6</v>
      </c>
      <c r="F27" s="20">
        <f t="shared" ref="F27" si="3">$M$23/$M$24*E27</f>
        <v>4497.1183052688757</v>
      </c>
      <c r="G27" s="21">
        <f t="shared" ref="G27" si="4">$N$23/$N$24*E27</f>
        <v>4497.1183052688757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1.8</v>
      </c>
      <c r="F28" s="20">
        <f t="shared" si="1"/>
        <v>13491.354915806627</v>
      </c>
      <c r="G28" s="21">
        <f t="shared" si="2"/>
        <v>13491.354915806627</v>
      </c>
      <c r="H28" s="22">
        <f t="shared" si="0"/>
        <v>0</v>
      </c>
      <c r="I28" s="23"/>
      <c r="J28" s="23"/>
    </row>
    <row r="29" spans="2:14" ht="219.75" customHeight="1">
      <c r="B29" s="26" t="s">
        <v>204</v>
      </c>
      <c r="C29" s="29" t="s">
        <v>191</v>
      </c>
      <c r="D29" s="19" t="s">
        <v>188</v>
      </c>
      <c r="E29" s="94">
        <v>6.55</v>
      </c>
      <c r="F29" s="20">
        <f t="shared" si="1"/>
        <v>49093.54149918523</v>
      </c>
      <c r="G29" s="21">
        <f t="shared" si="2"/>
        <v>49093.54149918523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09.5" customHeight="1">
      <c r="B30" s="26" t="s">
        <v>192</v>
      </c>
      <c r="C30" s="6" t="s">
        <v>205</v>
      </c>
      <c r="D30" s="19" t="s">
        <v>188</v>
      </c>
      <c r="E30" s="94">
        <v>0.35</v>
      </c>
      <c r="F30" s="20">
        <f t="shared" si="1"/>
        <v>2623.3190114068443</v>
      </c>
      <c r="G30" s="21">
        <f t="shared" ref="G30" si="5">$N$23/$N$24*E30</f>
        <v>2623.3190114068443</v>
      </c>
      <c r="H30" s="22">
        <f t="shared" si="0"/>
        <v>0</v>
      </c>
      <c r="I30" s="23"/>
      <c r="J30" s="23"/>
    </row>
    <row r="31" spans="2:14" ht="56.25" customHeight="1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36351.699999999997</v>
      </c>
      <c r="G31" s="4">
        <v>7292</v>
      </c>
      <c r="H31" s="22">
        <f>F31-G31</f>
        <v>29059.699999999997</v>
      </c>
      <c r="I31" s="23"/>
      <c r="J31" s="23"/>
      <c r="L31" s="14"/>
    </row>
    <row r="32" spans="2:14" ht="16.5" thickBot="1">
      <c r="B32" s="64" t="s">
        <v>173</v>
      </c>
      <c r="C32" s="49" t="s">
        <v>191</v>
      </c>
      <c r="D32" s="50" t="s">
        <v>188</v>
      </c>
      <c r="E32" s="95">
        <v>1.54</v>
      </c>
      <c r="F32" s="20">
        <f t="shared" si="1"/>
        <v>11542.603650190114</v>
      </c>
      <c r="G32" s="21">
        <f t="shared" ref="G32" si="6">$N$23/$N$24*E32</f>
        <v>11542.603650190114</v>
      </c>
      <c r="H32" s="30">
        <f>F32-G32</f>
        <v>0</v>
      </c>
      <c r="I32" s="23"/>
      <c r="J32" s="23"/>
    </row>
    <row r="33" spans="2:14" ht="16.5" thickBot="1">
      <c r="B33" s="63" t="s">
        <v>177</v>
      </c>
      <c r="C33" s="52"/>
      <c r="D33" s="52"/>
      <c r="E33" s="96">
        <f>SUM(E24:E32)</f>
        <v>23.259999999999998</v>
      </c>
      <c r="F33" s="53">
        <f>SUM(F24:F32)</f>
        <v>174338.28</v>
      </c>
      <c r="G33" s="54">
        <f>SUM(G24:G32)</f>
        <v>145278.58000000002</v>
      </c>
      <c r="H33" s="35">
        <f>SUM(H24:H32)</f>
        <v>29059.699999999997</v>
      </c>
      <c r="I33" s="36"/>
      <c r="J33" s="36"/>
    </row>
    <row r="34" spans="2:14" ht="13.5" customHeight="1">
      <c r="B34" s="14"/>
      <c r="C34" s="14"/>
      <c r="D34" s="14"/>
      <c r="E34" s="82"/>
      <c r="F34" s="82"/>
      <c r="G34" s="82"/>
      <c r="H34" s="78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1569156.7621285804</v>
      </c>
      <c r="D37" s="239"/>
      <c r="E37" s="263">
        <f>F24+F25+F26+F27+F28+F29+F30+F32+E16</f>
        <v>1131780.4421285803</v>
      </c>
      <c r="F37" s="264"/>
      <c r="G37" s="263">
        <f>F31+G16</f>
        <v>437376.31999999995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1565996.53</v>
      </c>
      <c r="D38" s="236"/>
      <c r="E38" s="235">
        <f>E17+136645.09</f>
        <v>1133998.27</v>
      </c>
      <c r="F38" s="236"/>
      <c r="G38" s="235">
        <f>G17+35998.3</f>
        <v>431998.25999999995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1471086.44</v>
      </c>
      <c r="D39" s="270"/>
      <c r="E39" s="260">
        <f>G24+G25+G26+G27+G28+G29+G30+G32+E18</f>
        <v>1131780.44</v>
      </c>
      <c r="F39" s="261"/>
      <c r="G39" s="260">
        <f>G31+G18</f>
        <v>339306</v>
      </c>
      <c r="H39" s="262"/>
      <c r="I39" s="222"/>
      <c r="J39" s="222"/>
      <c r="K39" s="41"/>
      <c r="L39" s="41"/>
    </row>
    <row r="40" spans="2:14" ht="36.75" thickBot="1">
      <c r="B40" s="92" t="s">
        <v>275</v>
      </c>
      <c r="C40" s="249">
        <f>E40+G40</f>
        <v>94910.090000000026</v>
      </c>
      <c r="D40" s="250"/>
      <c r="E40" s="251">
        <f>E38-E39</f>
        <v>2217.8300000000745</v>
      </c>
      <c r="F40" s="252"/>
      <c r="G40" s="251">
        <f>G38-G39</f>
        <v>92692.259999999951</v>
      </c>
      <c r="H40" s="253"/>
      <c r="I40" s="222"/>
      <c r="J40" s="222"/>
      <c r="K40" s="41"/>
      <c r="L40" s="41"/>
    </row>
    <row r="41" spans="2:14" ht="28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</row>
    <row r="48" spans="2:14" ht="7.5" customHeight="1">
      <c r="C48" s="82"/>
      <c r="E48" s="220"/>
      <c r="F48" s="78"/>
      <c r="H48" s="78"/>
    </row>
  </sheetData>
  <mergeCells count="54">
    <mergeCell ref="C18:D18"/>
    <mergeCell ref="C19:D19"/>
    <mergeCell ref="C36:D36"/>
    <mergeCell ref="C37:D37"/>
    <mergeCell ref="C38:D38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B14:H14"/>
    <mergeCell ref="E15:F15"/>
    <mergeCell ref="G15:H15"/>
    <mergeCell ref="D5:E5"/>
    <mergeCell ref="C15:D15"/>
    <mergeCell ref="C16:D16"/>
    <mergeCell ref="C17:D17"/>
    <mergeCell ref="E16:F16"/>
    <mergeCell ref="G16:H16"/>
    <mergeCell ref="E17:F17"/>
    <mergeCell ref="G17:H17"/>
    <mergeCell ref="F42:G42"/>
    <mergeCell ref="B35:H35"/>
    <mergeCell ref="E36:F36"/>
    <mergeCell ref="G36:H36"/>
    <mergeCell ref="F41:G41"/>
    <mergeCell ref="E37:F37"/>
    <mergeCell ref="G37:H37"/>
    <mergeCell ref="E38:F38"/>
    <mergeCell ref="G38:H38"/>
    <mergeCell ref="E39:F39"/>
    <mergeCell ref="G39:H39"/>
    <mergeCell ref="E40:F40"/>
    <mergeCell ref="N21:N22"/>
    <mergeCell ref="E18:F18"/>
    <mergeCell ref="G18:H18"/>
    <mergeCell ref="E19:F19"/>
    <mergeCell ref="G19:H19"/>
    <mergeCell ref="C41:E41"/>
    <mergeCell ref="C43:E43"/>
    <mergeCell ref="C45:E45"/>
    <mergeCell ref="C47:E47"/>
    <mergeCell ref="M21:M22"/>
    <mergeCell ref="F47:G47"/>
    <mergeCell ref="F43:G43"/>
    <mergeCell ref="F44:G44"/>
    <mergeCell ref="F45:G45"/>
    <mergeCell ref="G40:H40"/>
    <mergeCell ref="C39:D39"/>
    <mergeCell ref="C40:D40"/>
  </mergeCells>
  <printOptions horizontalCentered="1"/>
  <pageMargins left="0.19685039370078741" right="0.19685039370078741" top="0.15748031496062992" bottom="0.27559055118110237" header="0.31496062992125984" footer="0.23622047244094491"/>
  <pageSetup paperSize="9" scale="5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5.7109375" style="3" customWidth="1"/>
    <col min="3" max="3" width="23.7109375" style="78" customWidth="1"/>
    <col min="4" max="4" width="8.85546875" style="78" customWidth="1"/>
    <col min="5" max="5" width="10.140625" style="78" customWidth="1"/>
    <col min="6" max="6" width="10" style="3" customWidth="1"/>
    <col min="7" max="7" width="10.28515625" style="3" customWidth="1"/>
    <col min="8" max="8" width="10.42578125" style="3" customWidth="1"/>
    <col min="9" max="9" width="10.7109375" style="3" bestFit="1" customWidth="1"/>
    <col min="10" max="11" width="9.140625" style="3"/>
    <col min="12" max="12" width="13.42578125" style="3" customWidth="1"/>
    <col min="13" max="13" width="16.140625" style="185" bestFit="1" customWidth="1"/>
    <col min="14" max="14" width="13.2851562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1.75" customHeight="1">
      <c r="A3" s="56"/>
      <c r="B3" s="231"/>
      <c r="C3" s="231"/>
      <c r="D3" s="231"/>
      <c r="E3" s="231"/>
      <c r="F3" s="231"/>
      <c r="G3" s="231"/>
      <c r="H3" s="231"/>
    </row>
    <row r="4" spans="1:9" ht="12" customHeight="1"/>
    <row r="5" spans="1:9">
      <c r="B5" s="8" t="s">
        <v>0</v>
      </c>
      <c r="C5" s="45"/>
      <c r="D5" s="233" t="s">
        <v>80</v>
      </c>
      <c r="E5" s="233"/>
    </row>
    <row r="6" spans="1:9">
      <c r="B6" s="8" t="s">
        <v>1</v>
      </c>
      <c r="C6" s="45"/>
      <c r="D6" s="217">
        <v>1955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8</v>
      </c>
      <c r="E8" s="217"/>
    </row>
    <row r="9" spans="1:9" ht="30.75" hidden="1" customHeight="1" outlineLevel="1">
      <c r="B9" s="111" t="s">
        <v>4</v>
      </c>
      <c r="C9" s="122"/>
      <c r="D9" s="217" t="s">
        <v>81</v>
      </c>
      <c r="E9" s="217"/>
    </row>
    <row r="10" spans="1:9" collapsed="1">
      <c r="B10" s="8" t="s">
        <v>5</v>
      </c>
      <c r="C10" s="45"/>
      <c r="D10" s="217" t="s">
        <v>233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58</v>
      </c>
      <c r="E12" s="216"/>
      <c r="I12" s="14"/>
    </row>
    <row r="13" spans="1:9" ht="11.2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5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928548.04201003991</v>
      </c>
      <c r="D16" s="273"/>
      <c r="E16" s="263">
        <v>631585.15201003989</v>
      </c>
      <c r="F16" s="264"/>
      <c r="G16" s="263">
        <v>296962.89</v>
      </c>
      <c r="H16" s="265"/>
      <c r="I16" s="14"/>
    </row>
    <row r="17" spans="2:15">
      <c r="B17" s="89" t="s">
        <v>15</v>
      </c>
      <c r="C17" s="235">
        <v>898266.41999999993</v>
      </c>
      <c r="D17" s="236"/>
      <c r="E17" s="235">
        <v>640057.21</v>
      </c>
      <c r="F17" s="236"/>
      <c r="G17" s="235">
        <v>258209.21000000002</v>
      </c>
      <c r="H17" s="237"/>
      <c r="I17" s="14"/>
    </row>
    <row r="18" spans="2:15" ht="16.5" thickBot="1">
      <c r="B18" s="90" t="s">
        <v>176</v>
      </c>
      <c r="C18" s="235">
        <v>885489.74097024207</v>
      </c>
      <c r="D18" s="236"/>
      <c r="E18" s="260">
        <v>634079.74097024207</v>
      </c>
      <c r="F18" s="261"/>
      <c r="G18" s="260">
        <v>251410</v>
      </c>
      <c r="H18" s="262"/>
      <c r="I18" s="14"/>
    </row>
    <row r="19" spans="2:15" ht="33" customHeight="1" thickBot="1">
      <c r="B19" s="92" t="s">
        <v>274</v>
      </c>
      <c r="C19" s="249">
        <f>E19+G19</f>
        <v>12776.679029757914</v>
      </c>
      <c r="D19" s="250"/>
      <c r="E19" s="251">
        <f>E17-E18</f>
        <v>5977.4690297578927</v>
      </c>
      <c r="F19" s="252"/>
      <c r="G19" s="251">
        <f>G17-G18</f>
        <v>6799.210000000021</v>
      </c>
      <c r="H19" s="253"/>
      <c r="I19" s="14"/>
    </row>
    <row r="20" spans="2:15">
      <c r="B20" s="11"/>
      <c r="C20" s="61"/>
      <c r="D20" s="87"/>
      <c r="E20" s="216"/>
      <c r="F20" s="78"/>
      <c r="H20" s="78"/>
      <c r="I20" s="14"/>
    </row>
    <row r="21" spans="2:15" ht="20.25" customHeight="1" thickBot="1">
      <c r="B21" s="254" t="s">
        <v>302</v>
      </c>
      <c r="C21" s="254"/>
      <c r="D21" s="254"/>
      <c r="E21" s="254"/>
      <c r="F21" s="254"/>
      <c r="G21" s="254"/>
      <c r="H21" s="254"/>
      <c r="L21" s="14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4"/>
      <c r="M22" s="242"/>
      <c r="N22" s="242"/>
    </row>
    <row r="23" spans="2:15" ht="44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71156.55</v>
      </c>
      <c r="N23" s="204">
        <f>M23</f>
        <v>71156.55</v>
      </c>
    </row>
    <row r="24" spans="2:15" ht="45">
      <c r="B24" s="18" t="s">
        <v>178</v>
      </c>
      <c r="C24" s="6" t="s">
        <v>205</v>
      </c>
      <c r="D24" s="19" t="s">
        <v>188</v>
      </c>
      <c r="E24" s="93">
        <v>1.71</v>
      </c>
      <c r="F24" s="20">
        <f>$M$23/$M$24*E24</f>
        <v>8084.8970431893695</v>
      </c>
      <c r="G24" s="21">
        <f>$N$23/$N$24*E24</f>
        <v>8084.8970431893695</v>
      </c>
      <c r="H24" s="22">
        <f>F24-G24</f>
        <v>0</v>
      </c>
      <c r="I24" s="57"/>
      <c r="J24" s="24"/>
      <c r="K24" s="24"/>
      <c r="L24" s="25"/>
      <c r="M24" s="205">
        <f>E33-E31</f>
        <v>15.049999999999997</v>
      </c>
      <c r="N24" s="205">
        <f>E33-E31</f>
        <v>15.049999999999997</v>
      </c>
      <c r="O24" s="24"/>
    </row>
    <row r="25" spans="2:15" ht="51">
      <c r="B25" s="26" t="s">
        <v>189</v>
      </c>
      <c r="C25" s="6" t="s">
        <v>205</v>
      </c>
      <c r="D25" s="19" t="s">
        <v>188</v>
      </c>
      <c r="E25" s="94">
        <v>1.9</v>
      </c>
      <c r="F25" s="20">
        <f>$M$23/$M$24*E25</f>
        <v>8983.2189368770778</v>
      </c>
      <c r="G25" s="4">
        <f>$N$23/$N$24*E25</f>
        <v>8983.2189368770778</v>
      </c>
      <c r="H25" s="22">
        <f t="shared" ref="H25:H30" si="0">F25-G25</f>
        <v>0</v>
      </c>
      <c r="I25" s="58"/>
      <c r="J25" s="2"/>
      <c r="K25" s="2"/>
      <c r="L25" s="2"/>
      <c r="M25" s="186"/>
      <c r="N25" s="186"/>
      <c r="O25" s="2"/>
    </row>
    <row r="26" spans="2:15" ht="4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1654.8034883720932</v>
      </c>
      <c r="G26" s="4">
        <f t="shared" ref="G26:G29" si="2">$N$23/$N$24*E26</f>
        <v>1654.8034883720932</v>
      </c>
      <c r="H26" s="22">
        <f t="shared" si="0"/>
        <v>0</v>
      </c>
      <c r="I26" s="41"/>
      <c r="L26" s="14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ref="F27" si="3">$M$23/$M$24*E27</f>
        <v>3025.9263787375421</v>
      </c>
      <c r="G27" s="4">
        <f t="shared" ref="G27" si="4">$N$23/$N$24*E27</f>
        <v>3025.9263787375421</v>
      </c>
      <c r="H27" s="22">
        <f t="shared" si="0"/>
        <v>0</v>
      </c>
      <c r="I27" s="41"/>
      <c r="L27" s="14"/>
    </row>
    <row r="28" spans="2:15" ht="51">
      <c r="B28" s="26" t="s">
        <v>179</v>
      </c>
      <c r="C28" s="29" t="s">
        <v>211</v>
      </c>
      <c r="D28" s="19" t="s">
        <v>188</v>
      </c>
      <c r="E28" s="94">
        <v>1.89</v>
      </c>
      <c r="F28" s="20">
        <f t="shared" si="1"/>
        <v>8935.9388372093035</v>
      </c>
      <c r="G28" s="4">
        <f t="shared" si="2"/>
        <v>8935.9388372093035</v>
      </c>
      <c r="H28" s="22">
        <f t="shared" si="0"/>
        <v>0</v>
      </c>
      <c r="I28" s="41"/>
    </row>
    <row r="29" spans="2:15" ht="212.2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1"/>
        <v>33899.831461794027</v>
      </c>
      <c r="G29" s="4">
        <f t="shared" si="2"/>
        <v>33899.831461794027</v>
      </c>
      <c r="H29" s="22">
        <f t="shared" si="0"/>
        <v>0</v>
      </c>
      <c r="I29" s="58"/>
      <c r="J29" s="2"/>
      <c r="K29" s="2"/>
      <c r="L29" s="1"/>
      <c r="M29" s="186"/>
      <c r="N29" s="186"/>
    </row>
    <row r="30" spans="2:15" ht="102">
      <c r="B30" s="26" t="s">
        <v>192</v>
      </c>
      <c r="C30" s="6" t="s">
        <v>205</v>
      </c>
      <c r="D30" s="19" t="s">
        <v>188</v>
      </c>
      <c r="E30" s="94">
        <v>0.35</v>
      </c>
      <c r="F30" s="20">
        <f t="shared" si="1"/>
        <v>1654.8034883720932</v>
      </c>
      <c r="G30" s="4">
        <f t="shared" ref="G30" si="5">$N$23/$N$24*E30</f>
        <v>1654.8034883720932</v>
      </c>
      <c r="H30" s="22">
        <f t="shared" si="0"/>
        <v>0</v>
      </c>
      <c r="I30" s="41"/>
    </row>
    <row r="31" spans="2:15" ht="45">
      <c r="B31" s="27" t="s">
        <v>193</v>
      </c>
      <c r="C31" s="6" t="s">
        <v>205</v>
      </c>
      <c r="D31" s="19" t="s">
        <v>188</v>
      </c>
      <c r="E31" s="94">
        <v>8.5</v>
      </c>
      <c r="F31" s="20">
        <v>40188.089999999997</v>
      </c>
      <c r="G31" s="4">
        <v>6077</v>
      </c>
      <c r="H31" s="22">
        <f>F31-G31</f>
        <v>34111.089999999997</v>
      </c>
      <c r="I31" s="41"/>
      <c r="L31" s="14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1.04</v>
      </c>
      <c r="F32" s="20">
        <f t="shared" si="1"/>
        <v>4917.1303654485055</v>
      </c>
      <c r="G32" s="4">
        <f t="shared" ref="G32" si="6">$N$23/$N$24*E32</f>
        <v>4917.1303654485055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23.549999999999997</v>
      </c>
      <c r="F33" s="53">
        <f>SUM(F24:F32)</f>
        <v>111344.64000000001</v>
      </c>
      <c r="G33" s="54">
        <f>SUM(G24:G32)</f>
        <v>77233.550000000017</v>
      </c>
      <c r="H33" s="35">
        <f>SUM(H24:H32)</f>
        <v>34111.089999999997</v>
      </c>
      <c r="I33" s="41"/>
    </row>
    <row r="34" spans="2:15">
      <c r="B34" s="14"/>
      <c r="C34" s="14"/>
      <c r="D34" s="14"/>
      <c r="E34" s="82"/>
      <c r="F34" s="78"/>
      <c r="G34" s="78"/>
      <c r="H34" s="78"/>
      <c r="O34" s="78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8.7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40"/>
      <c r="M36" s="187"/>
      <c r="N36" s="187"/>
    </row>
    <row r="37" spans="2:15">
      <c r="B37" s="88" t="s">
        <v>14</v>
      </c>
      <c r="C37" s="238">
        <f>E37+G37</f>
        <v>1039892.6820100399</v>
      </c>
      <c r="D37" s="239"/>
      <c r="E37" s="263">
        <f>F24+F25+F26+F27+F28+F29+F30+F32+E16</f>
        <v>702741.70201003994</v>
      </c>
      <c r="F37" s="264"/>
      <c r="G37" s="263">
        <f>F31+G16</f>
        <v>337150.98</v>
      </c>
      <c r="H37" s="265"/>
      <c r="I37" s="73"/>
      <c r="J37" s="74"/>
      <c r="K37" s="7"/>
      <c r="L37" s="7"/>
      <c r="M37" s="188"/>
    </row>
    <row r="38" spans="2:15">
      <c r="B38" s="89" t="s">
        <v>15</v>
      </c>
      <c r="C38" s="235">
        <f>E38+G38</f>
        <v>1008886.3300000001</v>
      </c>
      <c r="D38" s="236"/>
      <c r="E38" s="235">
        <f>E17+70693.4</f>
        <v>710750.61</v>
      </c>
      <c r="F38" s="236"/>
      <c r="G38" s="235">
        <f>G17+39926.51</f>
        <v>298135.72000000003</v>
      </c>
      <c r="H38" s="237"/>
      <c r="I38" s="73"/>
      <c r="J38" s="74"/>
      <c r="K38" s="9"/>
      <c r="L38" s="7"/>
      <c r="M38" s="188"/>
    </row>
    <row r="39" spans="2:15" ht="16.5" thickBot="1">
      <c r="B39" s="90" t="s">
        <v>176</v>
      </c>
      <c r="C39" s="269">
        <f>E39+G39</f>
        <v>962723.29097024212</v>
      </c>
      <c r="D39" s="270"/>
      <c r="E39" s="260">
        <f>G24+G25+G26+G27+G28+G29+G30+G32+E18</f>
        <v>705236.29097024212</v>
      </c>
      <c r="F39" s="261"/>
      <c r="G39" s="260">
        <f>G31+G18</f>
        <v>257487</v>
      </c>
      <c r="H39" s="262"/>
      <c r="I39" s="73"/>
      <c r="J39" s="74"/>
      <c r="K39" s="41"/>
      <c r="L39" s="41"/>
    </row>
    <row r="40" spans="2:15" ht="36.75" thickBot="1">
      <c r="B40" s="92" t="s">
        <v>275</v>
      </c>
      <c r="C40" s="249">
        <f>E40+G40</f>
        <v>46163.0390297579</v>
      </c>
      <c r="D40" s="250"/>
      <c r="E40" s="251">
        <f>E38-E39</f>
        <v>5514.3190297578694</v>
      </c>
      <c r="F40" s="252"/>
      <c r="G40" s="251">
        <f>G38-G39</f>
        <v>40648.72000000003</v>
      </c>
      <c r="H40" s="253"/>
      <c r="I40" s="73"/>
      <c r="J40" s="74"/>
      <c r="K40" s="41"/>
      <c r="L40" s="41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2"/>
      <c r="M41" s="186"/>
      <c r="N41" s="186"/>
      <c r="O41" s="2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2"/>
      <c r="M42" s="186"/>
      <c r="N42" s="186"/>
      <c r="O42" s="2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2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0.5" customHeight="1">
      <c r="B48" s="46"/>
      <c r="C48" s="46"/>
      <c r="D48" s="46"/>
      <c r="E48" s="220"/>
      <c r="F48" s="268"/>
      <c r="G48" s="268"/>
      <c r="H48" s="78"/>
      <c r="I48" s="78"/>
    </row>
  </sheetData>
  <mergeCells count="55">
    <mergeCell ref="B1:H1"/>
    <mergeCell ref="F47:G47"/>
    <mergeCell ref="F48:G48"/>
    <mergeCell ref="B2:H3"/>
    <mergeCell ref="B35:H35"/>
    <mergeCell ref="F44:G44"/>
    <mergeCell ref="F45:G45"/>
    <mergeCell ref="G40:H40"/>
    <mergeCell ref="F41:G41"/>
    <mergeCell ref="F42:G42"/>
    <mergeCell ref="E38:F38"/>
    <mergeCell ref="G38:H38"/>
    <mergeCell ref="E39:F39"/>
    <mergeCell ref="G39:H39"/>
    <mergeCell ref="E36:F36"/>
    <mergeCell ref="G36:H36"/>
    <mergeCell ref="G37:H37"/>
    <mergeCell ref="D5:E5"/>
    <mergeCell ref="E40:F40"/>
    <mergeCell ref="F43:G43"/>
    <mergeCell ref="B21:H21"/>
    <mergeCell ref="B22:B23"/>
    <mergeCell ref="C22:C23"/>
    <mergeCell ref="D22:D23"/>
    <mergeCell ref="E22:E23"/>
    <mergeCell ref="F22:G22"/>
    <mergeCell ref="H22:H23"/>
    <mergeCell ref="B14:H14"/>
    <mergeCell ref="E15:F15"/>
    <mergeCell ref="G15:H15"/>
    <mergeCell ref="E16:F16"/>
    <mergeCell ref="C40:D40"/>
    <mergeCell ref="G16:H16"/>
    <mergeCell ref="C15:D15"/>
    <mergeCell ref="C16:D16"/>
    <mergeCell ref="E17:F17"/>
    <mergeCell ref="G17:H17"/>
    <mergeCell ref="G18:H18"/>
    <mergeCell ref="C17:D17"/>
    <mergeCell ref="C18:D18"/>
    <mergeCell ref="N21:N22"/>
    <mergeCell ref="E19:F19"/>
    <mergeCell ref="G19:H19"/>
    <mergeCell ref="M21:M22"/>
    <mergeCell ref="C19:D19"/>
    <mergeCell ref="C41:E41"/>
    <mergeCell ref="C43:E43"/>
    <mergeCell ref="C45:E45"/>
    <mergeCell ref="C47:E47"/>
    <mergeCell ref="E18:F18"/>
    <mergeCell ref="E37:F37"/>
    <mergeCell ref="C36:D36"/>
    <mergeCell ref="C37:D37"/>
    <mergeCell ref="C38:D38"/>
    <mergeCell ref="C39:D39"/>
  </mergeCells>
  <printOptions horizontalCentered="1"/>
  <pageMargins left="0.39" right="0.19685039370078741" top="0.47244094488188981" bottom="0.23622047244094491" header="0.47244094488188981" footer="0.24"/>
  <pageSetup paperSize="9" scale="47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5.85546875" style="3" customWidth="1"/>
    <col min="3" max="3" width="21.42578125" style="78" customWidth="1"/>
    <col min="4" max="4" width="8.5703125" style="78" customWidth="1"/>
    <col min="5" max="5" width="9.85546875" style="78" customWidth="1"/>
    <col min="6" max="6" width="10.140625" style="78" customWidth="1"/>
    <col min="7" max="7" width="12.7109375" style="3" customWidth="1"/>
    <col min="8" max="8" width="10.28515625" style="78" customWidth="1"/>
    <col min="9" max="9" width="10.7109375" style="3" bestFit="1" customWidth="1"/>
    <col min="10" max="10" width="11.85546875" style="3" customWidth="1"/>
    <col min="11" max="11" width="13.85546875" style="3" customWidth="1"/>
    <col min="12" max="12" width="9.140625" style="185"/>
    <col min="13" max="13" width="13.85546875" style="185" customWidth="1"/>
    <col min="14" max="14" width="14.28515625" style="185" customWidth="1"/>
    <col min="15" max="15" width="9.140625" style="185"/>
    <col min="16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6"/>
      <c r="B3" s="231"/>
      <c r="C3" s="231"/>
      <c r="D3" s="231"/>
      <c r="E3" s="231"/>
      <c r="F3" s="231"/>
      <c r="G3" s="231"/>
      <c r="H3" s="231"/>
    </row>
    <row r="5" spans="1:9">
      <c r="B5" s="8" t="s">
        <v>0</v>
      </c>
      <c r="C5" s="45"/>
      <c r="D5" s="233" t="s">
        <v>82</v>
      </c>
      <c r="E5" s="233"/>
    </row>
    <row r="6" spans="1:9">
      <c r="B6" s="8" t="s">
        <v>1</v>
      </c>
      <c r="C6" s="45"/>
      <c r="D6" s="217">
        <v>1956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11</v>
      </c>
      <c r="E8" s="217"/>
    </row>
    <row r="9" spans="1:9" ht="26.25" hidden="1" outlineLevel="1">
      <c r="B9" s="111" t="s">
        <v>4</v>
      </c>
      <c r="C9" s="122"/>
      <c r="D9" s="217" t="s">
        <v>83</v>
      </c>
      <c r="E9" s="217"/>
    </row>
    <row r="10" spans="1:9" collapsed="1">
      <c r="B10" s="8" t="s">
        <v>5</v>
      </c>
      <c r="C10" s="45"/>
      <c r="D10" s="217" t="s">
        <v>234</v>
      </c>
      <c r="E10" s="217"/>
      <c r="I10" s="14"/>
    </row>
    <row r="11" spans="1:9" hidden="1">
      <c r="B11" s="8" t="s">
        <v>6</v>
      </c>
      <c r="C11" s="45"/>
      <c r="D11" s="217" t="s">
        <v>84</v>
      </c>
      <c r="E11" s="217"/>
    </row>
    <row r="12" spans="1:9" ht="31.5" hidden="1" customHeight="1" outlineLevel="1">
      <c r="B12" s="111" t="s">
        <v>7</v>
      </c>
      <c r="C12" s="122"/>
      <c r="D12" s="123" t="s">
        <v>85</v>
      </c>
      <c r="E12" s="217"/>
      <c r="I12" s="14"/>
    </row>
    <row r="13" spans="1:9" ht="12" customHeight="1" collapsed="1">
      <c r="B13" s="111"/>
      <c r="C13" s="122"/>
      <c r="D13" s="123"/>
      <c r="E13" s="217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2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1508794.726633389</v>
      </c>
      <c r="D16" s="273"/>
      <c r="E16" s="263">
        <v>1110541.5066333888</v>
      </c>
      <c r="F16" s="264"/>
      <c r="G16" s="263">
        <v>398253.22000000009</v>
      </c>
      <c r="H16" s="265"/>
      <c r="I16" s="14"/>
    </row>
    <row r="17" spans="2:15">
      <c r="B17" s="89" t="s">
        <v>15</v>
      </c>
      <c r="C17" s="235">
        <v>1491680.55</v>
      </c>
      <c r="D17" s="236"/>
      <c r="E17" s="235">
        <v>1101572.81</v>
      </c>
      <c r="F17" s="236"/>
      <c r="G17" s="235">
        <v>390107.74000000005</v>
      </c>
      <c r="H17" s="237"/>
      <c r="I17" s="14"/>
    </row>
    <row r="18" spans="2:15" ht="16.5" thickBot="1">
      <c r="B18" s="90" t="s">
        <v>176</v>
      </c>
      <c r="C18" s="235">
        <v>1413016.122803584</v>
      </c>
      <c r="D18" s="236"/>
      <c r="E18" s="260">
        <v>1095895.122803584</v>
      </c>
      <c r="F18" s="261"/>
      <c r="G18" s="260">
        <v>317121</v>
      </c>
      <c r="H18" s="262"/>
      <c r="I18" s="14"/>
    </row>
    <row r="19" spans="2:15" ht="28.5" customHeight="1" thickBot="1">
      <c r="B19" s="92" t="s">
        <v>274</v>
      </c>
      <c r="C19" s="249">
        <f>E19+G19</f>
        <v>78664.427196416131</v>
      </c>
      <c r="D19" s="250"/>
      <c r="E19" s="251">
        <f>E17-E18</f>
        <v>5677.6871964160819</v>
      </c>
      <c r="F19" s="252"/>
      <c r="G19" s="251">
        <f>G17-G18</f>
        <v>72986.740000000049</v>
      </c>
      <c r="H19" s="253"/>
      <c r="I19" s="14"/>
    </row>
    <row r="20" spans="2:15">
      <c r="B20" s="11"/>
      <c r="C20" s="61"/>
      <c r="D20" s="87"/>
      <c r="E20" s="216"/>
      <c r="I20" s="14"/>
    </row>
    <row r="21" spans="2:15" ht="18.75" customHeight="1" thickBot="1">
      <c r="B21" s="254" t="s">
        <v>302</v>
      </c>
      <c r="C21" s="254"/>
      <c r="D21" s="254"/>
      <c r="E21" s="254"/>
      <c r="F21" s="254"/>
      <c r="G21" s="254"/>
      <c r="H21" s="254"/>
      <c r="L21" s="191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91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159795.24</v>
      </c>
      <c r="N23" s="204">
        <f>M23</f>
        <v>159795.24</v>
      </c>
    </row>
    <row r="24" spans="2:15" ht="55.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29224.584000000003</v>
      </c>
      <c r="G24" s="21">
        <f>$N$23/$N$24*E24</f>
        <v>29224.584000000003</v>
      </c>
      <c r="H24" s="22">
        <f>F24-G24</f>
        <v>0</v>
      </c>
      <c r="I24" s="57"/>
      <c r="J24" s="24"/>
      <c r="K24" s="24"/>
      <c r="L24" s="192"/>
      <c r="M24" s="205">
        <f>E33-E31</f>
        <v>18.699999999999996</v>
      </c>
      <c r="N24" s="205">
        <f>E33-E31</f>
        <v>18.699999999999996</v>
      </c>
      <c r="O24" s="196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32471.760000000002</v>
      </c>
      <c r="G25" s="4">
        <f>$N$23/$N$24*E25</f>
        <v>32471.760000000002</v>
      </c>
      <c r="H25" s="22">
        <f t="shared" ref="H25:H30" si="0">F25-G25</f>
        <v>0</v>
      </c>
      <c r="I25" s="58"/>
      <c r="J25" s="2"/>
      <c r="K25" s="2"/>
      <c r="L25" s="193" t="s">
        <v>266</v>
      </c>
      <c r="M25" s="188"/>
      <c r="N25" s="188"/>
      <c r="O25" s="186"/>
    </row>
    <row r="26" spans="2:15" ht="56.2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2990.82</v>
      </c>
      <c r="G26" s="4">
        <f t="shared" ref="G26:G29" si="2">$N$23/$N$24*E26</f>
        <v>2990.82</v>
      </c>
      <c r="H26" s="22">
        <f t="shared" si="0"/>
        <v>0</v>
      </c>
      <c r="I26" s="41"/>
      <c r="L26" s="193" t="s">
        <v>267</v>
      </c>
      <c r="M26" s="193"/>
      <c r="N26" s="193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ref="F27" si="3">$M$23/$M$24*E27</f>
        <v>5468.9280000000008</v>
      </c>
      <c r="G27" s="4">
        <f t="shared" ref="G27" si="4">$N$23/$N$24*E27</f>
        <v>5468.9280000000008</v>
      </c>
      <c r="H27" s="22">
        <f t="shared" si="0"/>
        <v>0</v>
      </c>
      <c r="I27" s="41"/>
      <c r="L27" s="188" t="s">
        <v>268</v>
      </c>
      <c r="M27" s="193"/>
      <c r="N27" s="193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si="1"/>
        <v>12988.704000000002</v>
      </c>
      <c r="G28" s="4">
        <f t="shared" si="2"/>
        <v>12988.704000000002</v>
      </c>
      <c r="H28" s="22">
        <f t="shared" si="0"/>
        <v>0</v>
      </c>
      <c r="I28" s="41"/>
    </row>
    <row r="29" spans="2:15" ht="216.7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1"/>
        <v>61269.084000000003</v>
      </c>
      <c r="G29" s="4">
        <f t="shared" si="2"/>
        <v>61269.084000000003</v>
      </c>
      <c r="H29" s="22">
        <f t="shared" si="0"/>
        <v>0</v>
      </c>
      <c r="I29" s="58"/>
      <c r="J29" s="2"/>
      <c r="K29" s="2"/>
      <c r="L29" s="194"/>
      <c r="M29" s="186"/>
      <c r="N29" s="186"/>
    </row>
    <row r="30" spans="2:15" ht="115.5" customHeight="1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1"/>
        <v>2563.56</v>
      </c>
      <c r="G30" s="4">
        <f t="shared" ref="G30" si="5">$N$23/$N$24*E30</f>
        <v>2563.56</v>
      </c>
      <c r="H30" s="22">
        <f t="shared" si="0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4.5999999999999996</v>
      </c>
      <c r="F31" s="20">
        <v>39307.919999999998</v>
      </c>
      <c r="G31" s="4">
        <v>85405</v>
      </c>
      <c r="H31" s="22">
        <f>F31-G31</f>
        <v>-46097.08</v>
      </c>
      <c r="I31" s="41"/>
      <c r="L31" s="191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1.5</v>
      </c>
      <c r="F32" s="20">
        <f t="shared" si="1"/>
        <v>12817.800000000001</v>
      </c>
      <c r="G32" s="4">
        <f t="shared" ref="G32" si="6">$N$23/$N$24*E32</f>
        <v>12817.800000000001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23.299999999999997</v>
      </c>
      <c r="F33" s="53">
        <f>SUM(F24:F32)</f>
        <v>199103.15999999997</v>
      </c>
      <c r="G33" s="54">
        <f>SUM(G24:G32)</f>
        <v>245200.24</v>
      </c>
      <c r="H33" s="35">
        <f>SUM(H24:H32)</f>
        <v>-46097.08</v>
      </c>
      <c r="I33" s="41"/>
    </row>
    <row r="34" spans="2:15">
      <c r="B34" s="14"/>
      <c r="C34" s="14"/>
      <c r="D34" s="14"/>
      <c r="E34" s="82"/>
      <c r="G34" s="82"/>
      <c r="O34" s="187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39.7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189"/>
      <c r="M36" s="187"/>
      <c r="N36" s="187"/>
    </row>
    <row r="37" spans="2:15">
      <c r="B37" s="88" t="s">
        <v>14</v>
      </c>
      <c r="C37" s="238">
        <f>E37+G37</f>
        <v>1707897.8866333889</v>
      </c>
      <c r="D37" s="239"/>
      <c r="E37" s="263">
        <f>F24+F25+F26+F27+F28+F29+F30+F32+E16</f>
        <v>1270336.7466333888</v>
      </c>
      <c r="F37" s="264"/>
      <c r="G37" s="263">
        <f>F31+G16</f>
        <v>437561.14000000007</v>
      </c>
      <c r="H37" s="265"/>
      <c r="I37" s="73"/>
      <c r="J37" s="74"/>
      <c r="K37" s="7"/>
      <c r="L37" s="190"/>
      <c r="M37" s="188"/>
    </row>
    <row r="38" spans="2:15">
      <c r="B38" s="89" t="s">
        <v>15</v>
      </c>
      <c r="C38" s="235">
        <f>E38+G38</f>
        <v>1679719.02</v>
      </c>
      <c r="D38" s="236"/>
      <c r="E38" s="235">
        <f>E17+150915</f>
        <v>1252487.81</v>
      </c>
      <c r="F38" s="236"/>
      <c r="G38" s="235">
        <f>G17+37123.47</f>
        <v>427231.21000000008</v>
      </c>
      <c r="H38" s="237"/>
      <c r="I38" s="73"/>
      <c r="J38" s="74"/>
      <c r="K38" s="9"/>
      <c r="L38" s="190"/>
      <c r="M38" s="188"/>
    </row>
    <row r="39" spans="2:15" ht="16.5" thickBot="1">
      <c r="B39" s="90" t="s">
        <v>176</v>
      </c>
      <c r="C39" s="269">
        <f>E39+G39</f>
        <v>1658216.362803584</v>
      </c>
      <c r="D39" s="270"/>
      <c r="E39" s="260">
        <f>G24+G25+G26+G27+G28+G29+G30+G32+E18</f>
        <v>1255690.362803584</v>
      </c>
      <c r="F39" s="261"/>
      <c r="G39" s="260">
        <f>G31+G18</f>
        <v>402526</v>
      </c>
      <c r="H39" s="262"/>
      <c r="I39" s="73"/>
      <c r="J39" s="74"/>
      <c r="K39" s="41"/>
      <c r="L39" s="195"/>
    </row>
    <row r="40" spans="2:15" ht="36.75" thickBot="1">
      <c r="B40" s="92" t="s">
        <v>275</v>
      </c>
      <c r="C40" s="249">
        <f>E40+G40</f>
        <v>21502.65719641617</v>
      </c>
      <c r="D40" s="250"/>
      <c r="E40" s="251">
        <f>E38-E39</f>
        <v>-3202.5528035839088</v>
      </c>
      <c r="F40" s="252"/>
      <c r="G40" s="251">
        <f>G38-G39</f>
        <v>24705.210000000079</v>
      </c>
      <c r="H40" s="253"/>
      <c r="I40" s="73"/>
      <c r="J40" s="74"/>
      <c r="K40" s="41"/>
      <c r="L40" s="195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186"/>
      <c r="M41" s="186"/>
      <c r="N41" s="186"/>
      <c r="O41" s="186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186"/>
      <c r="M42" s="186"/>
      <c r="N42" s="186"/>
      <c r="O42" s="186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186"/>
      <c r="M43" s="186"/>
      <c r="N43" s="186"/>
      <c r="O43" s="186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9.75" customHeight="1">
      <c r="B48" s="46"/>
      <c r="C48" s="46"/>
      <c r="D48" s="46"/>
      <c r="E48" s="220"/>
      <c r="F48" s="268"/>
      <c r="G48" s="268"/>
    </row>
  </sheetData>
  <mergeCells count="55">
    <mergeCell ref="F48:G48"/>
    <mergeCell ref="C36:D36"/>
    <mergeCell ref="C37:D37"/>
    <mergeCell ref="C38:D38"/>
    <mergeCell ref="C39:D39"/>
    <mergeCell ref="C40:D40"/>
    <mergeCell ref="E38:F38"/>
    <mergeCell ref="C15:D15"/>
    <mergeCell ref="C16:D16"/>
    <mergeCell ref="C17:D17"/>
    <mergeCell ref="C18:D18"/>
    <mergeCell ref="C19:D19"/>
    <mergeCell ref="B35:H35"/>
    <mergeCell ref="F44:G44"/>
    <mergeCell ref="F47:G47"/>
    <mergeCell ref="E36:F36"/>
    <mergeCell ref="G36:H36"/>
    <mergeCell ref="E37:F37"/>
    <mergeCell ref="G37:H37"/>
    <mergeCell ref="F41:G41"/>
    <mergeCell ref="G39:H39"/>
    <mergeCell ref="F42:G42"/>
    <mergeCell ref="F43:G43"/>
    <mergeCell ref="C41:E41"/>
    <mergeCell ref="C43:E43"/>
    <mergeCell ref="C45:E45"/>
    <mergeCell ref="C47:E47"/>
    <mergeCell ref="E15:F15"/>
    <mergeCell ref="G15:H15"/>
    <mergeCell ref="E16:F16"/>
    <mergeCell ref="G16:H16"/>
    <mergeCell ref="E17:F17"/>
    <mergeCell ref="B1:H1"/>
    <mergeCell ref="F45:G45"/>
    <mergeCell ref="B2:H3"/>
    <mergeCell ref="D22:D23"/>
    <mergeCell ref="E40:F40"/>
    <mergeCell ref="G40:H40"/>
    <mergeCell ref="E39:F39"/>
    <mergeCell ref="G38:H38"/>
    <mergeCell ref="E22:E23"/>
    <mergeCell ref="G17:H17"/>
    <mergeCell ref="E19:F19"/>
    <mergeCell ref="D5:E5"/>
    <mergeCell ref="B21:H21"/>
    <mergeCell ref="B22:B23"/>
    <mergeCell ref="C22:C23"/>
    <mergeCell ref="B14:H14"/>
    <mergeCell ref="M21:M22"/>
    <mergeCell ref="N21:N22"/>
    <mergeCell ref="E18:F18"/>
    <mergeCell ref="G18:H18"/>
    <mergeCell ref="F22:G22"/>
    <mergeCell ref="H22:H23"/>
    <mergeCell ref="G19:H19"/>
  </mergeCells>
  <printOptions horizontalCentered="1"/>
  <pageMargins left="0.23622047244094491" right="0.27559055118110237" top="0.15748031496062992" bottom="0.23622047244094491" header="0.31496062992125984" footer="0.23622047244094491"/>
  <pageSetup paperSize="9" scale="4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140625" style="3" customWidth="1"/>
    <col min="3" max="3" width="19.140625" style="78" customWidth="1"/>
    <col min="4" max="5" width="10.28515625" style="78" customWidth="1"/>
    <col min="6" max="6" width="9.85546875" style="78" customWidth="1"/>
    <col min="7" max="7" width="11.85546875" style="3" customWidth="1"/>
    <col min="8" max="8" width="10.7109375" style="78" customWidth="1"/>
    <col min="9" max="9" width="10.7109375" style="3" bestFit="1" customWidth="1"/>
    <col min="10" max="10" width="12.140625" style="3" customWidth="1"/>
    <col min="11" max="11" width="13.85546875" style="3" customWidth="1"/>
    <col min="12" max="12" width="13.5703125" style="3" customWidth="1"/>
    <col min="13" max="13" width="12.85546875" style="185" customWidth="1"/>
    <col min="14" max="14" width="13.855468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1.75" customHeight="1">
      <c r="A3" s="56"/>
      <c r="B3" s="231"/>
      <c r="C3" s="231"/>
      <c r="D3" s="231"/>
      <c r="E3" s="231"/>
      <c r="F3" s="231"/>
      <c r="G3" s="231"/>
      <c r="H3" s="231"/>
    </row>
    <row r="4" spans="1:9" ht="11.25" customHeight="1"/>
    <row r="5" spans="1:9">
      <c r="B5" s="8" t="s">
        <v>0</v>
      </c>
      <c r="C5" s="45"/>
      <c r="D5" s="233" t="s">
        <v>86</v>
      </c>
      <c r="E5" s="233"/>
    </row>
    <row r="6" spans="1:9">
      <c r="B6" s="8" t="s">
        <v>1</v>
      </c>
      <c r="C6" s="45"/>
      <c r="D6" s="217">
        <v>1956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8</v>
      </c>
      <c r="E8" s="217"/>
    </row>
    <row r="9" spans="1:9" ht="26.25" hidden="1" outlineLevel="1">
      <c r="B9" s="111" t="s">
        <v>4</v>
      </c>
      <c r="C9" s="122"/>
      <c r="D9" s="217" t="s">
        <v>87</v>
      </c>
      <c r="E9" s="217"/>
    </row>
    <row r="10" spans="1:9" collapsed="1">
      <c r="B10" s="8" t="s">
        <v>5</v>
      </c>
      <c r="C10" s="45"/>
      <c r="D10" s="217" t="s">
        <v>235</v>
      </c>
      <c r="E10" s="217"/>
      <c r="I10" s="14"/>
    </row>
    <row r="11" spans="1:9" ht="12" hidden="1" customHeight="1" outlineLevel="1">
      <c r="B11" s="3" t="s">
        <v>6</v>
      </c>
      <c r="D11" s="216" t="s">
        <v>12</v>
      </c>
      <c r="E11" s="216"/>
    </row>
    <row r="12" spans="1:9" ht="31.5" hidden="1" customHeight="1" outlineLevel="1">
      <c r="B12" s="11" t="s">
        <v>7</v>
      </c>
      <c r="C12" s="76"/>
      <c r="D12" s="87" t="s">
        <v>88</v>
      </c>
      <c r="E12" s="216"/>
      <c r="I12" s="14"/>
    </row>
    <row r="13" spans="1:9" ht="9.7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8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940609.04094316461</v>
      </c>
      <c r="D16" s="273"/>
      <c r="E16" s="263">
        <v>692733.37094316469</v>
      </c>
      <c r="F16" s="264"/>
      <c r="G16" s="263">
        <v>247875.66999999995</v>
      </c>
      <c r="H16" s="265"/>
      <c r="I16" s="14"/>
    </row>
    <row r="17" spans="2:15">
      <c r="B17" s="89" t="s">
        <v>15</v>
      </c>
      <c r="C17" s="235">
        <v>942256.53</v>
      </c>
      <c r="D17" s="236"/>
      <c r="E17" s="235">
        <v>697455.04</v>
      </c>
      <c r="F17" s="236"/>
      <c r="G17" s="235">
        <v>244801.49000000002</v>
      </c>
      <c r="H17" s="237"/>
      <c r="I17" s="14"/>
    </row>
    <row r="18" spans="2:15" ht="16.5" thickBot="1">
      <c r="B18" s="90" t="s">
        <v>176</v>
      </c>
      <c r="C18" s="235">
        <v>991273.612108598</v>
      </c>
      <c r="D18" s="236"/>
      <c r="E18" s="260">
        <v>686967.612108598</v>
      </c>
      <c r="F18" s="261"/>
      <c r="G18" s="260">
        <v>304306</v>
      </c>
      <c r="H18" s="262"/>
      <c r="I18" s="14"/>
    </row>
    <row r="19" spans="2:15" ht="29.25" customHeight="1" thickBot="1">
      <c r="B19" s="92" t="s">
        <v>274</v>
      </c>
      <c r="C19" s="249">
        <f>E19+G19</f>
        <v>-49017.082108597941</v>
      </c>
      <c r="D19" s="250"/>
      <c r="E19" s="251">
        <f>E17-E18</f>
        <v>10487.42789140204</v>
      </c>
      <c r="F19" s="252"/>
      <c r="G19" s="251">
        <f>G17-G18</f>
        <v>-59504.50999999998</v>
      </c>
      <c r="H19" s="253"/>
      <c r="I19" s="14"/>
    </row>
    <row r="20" spans="2:15" ht="11.25" customHeight="1">
      <c r="B20" s="11"/>
      <c r="C20" s="61"/>
      <c r="D20" s="87"/>
      <c r="E20" s="216"/>
      <c r="I20" s="14"/>
    </row>
    <row r="21" spans="2:15" ht="16.5" customHeight="1" thickBot="1">
      <c r="B21" s="254" t="s">
        <v>302</v>
      </c>
      <c r="C21" s="254"/>
      <c r="D21" s="254"/>
      <c r="E21" s="254"/>
      <c r="F21" s="254"/>
      <c r="G21" s="254"/>
      <c r="H21" s="254"/>
      <c r="L21" s="14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4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90971.76</v>
      </c>
      <c r="N23" s="204">
        <f>M23</f>
        <v>90971.76</v>
      </c>
    </row>
    <row r="24" spans="2:15" ht="63.7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16637.616000000002</v>
      </c>
      <c r="G24" s="21">
        <f>$N$23/$N$24*E24</f>
        <v>16637.616000000002</v>
      </c>
      <c r="H24" s="22">
        <f>F24-G24</f>
        <v>0</v>
      </c>
      <c r="I24" s="57"/>
      <c r="J24" s="24"/>
      <c r="K24" s="24"/>
      <c r="L24" s="25"/>
      <c r="M24" s="205">
        <f>E33-E31</f>
        <v>18.699999999999996</v>
      </c>
      <c r="N24" s="205">
        <f>E33-E31</f>
        <v>18.699999999999996</v>
      </c>
      <c r="O24" s="24"/>
    </row>
    <row r="25" spans="2:15" ht="67.5" customHeight="1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18486.240000000002</v>
      </c>
      <c r="G25" s="4">
        <f>$N$23/$N$24*E25</f>
        <v>18486.240000000002</v>
      </c>
      <c r="H25" s="22">
        <f t="shared" ref="H25:H30" si="0">F25-G25</f>
        <v>0</v>
      </c>
      <c r="I25" s="58"/>
      <c r="J25" s="2"/>
      <c r="K25" s="2"/>
      <c r="L25" s="2"/>
      <c r="M25" s="186"/>
      <c r="N25" s="186"/>
      <c r="O25" s="2"/>
    </row>
    <row r="26" spans="2:15" ht="67.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1702.6800000000003</v>
      </c>
      <c r="G26" s="4">
        <f t="shared" ref="G26:G29" si="2">$N$23/$N$24*E26</f>
        <v>1702.6800000000003</v>
      </c>
      <c r="H26" s="22">
        <f t="shared" si="0"/>
        <v>0</v>
      </c>
      <c r="I26" s="41"/>
      <c r="L26" s="14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ref="F27" si="3">$M$23/$M$24*E27</f>
        <v>3113.4720000000007</v>
      </c>
      <c r="G27" s="4">
        <f t="shared" ref="G27" si="4">$N$23/$N$24*E27</f>
        <v>3113.4720000000007</v>
      </c>
      <c r="H27" s="22">
        <f t="shared" si="0"/>
        <v>0</v>
      </c>
      <c r="I27" s="41"/>
      <c r="L27" s="14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si="1"/>
        <v>7394.4960000000019</v>
      </c>
      <c r="G28" s="4">
        <f t="shared" si="2"/>
        <v>7394.4960000000019</v>
      </c>
      <c r="H28" s="22">
        <f t="shared" si="0"/>
        <v>0</v>
      </c>
      <c r="I28" s="41"/>
    </row>
    <row r="29" spans="2:15" ht="210.7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1"/>
        <v>34880.616000000009</v>
      </c>
      <c r="G29" s="4">
        <f t="shared" si="2"/>
        <v>34880.616000000009</v>
      </c>
      <c r="H29" s="22">
        <f t="shared" si="0"/>
        <v>0</v>
      </c>
      <c r="I29" s="58"/>
      <c r="J29" s="2"/>
      <c r="K29" s="2"/>
      <c r="L29" s="1"/>
      <c r="M29" s="186"/>
      <c r="N29" s="186"/>
    </row>
    <row r="30" spans="2:15" ht="102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1"/>
        <v>1459.4400000000003</v>
      </c>
      <c r="G30" s="4">
        <f t="shared" ref="G30" si="5">$N$23/$N$24*E30</f>
        <v>1459.4400000000003</v>
      </c>
      <c r="H30" s="22">
        <f t="shared" si="0"/>
        <v>0</v>
      </c>
      <c r="I30" s="41"/>
    </row>
    <row r="31" spans="2:15" ht="67.5">
      <c r="B31" s="27" t="s">
        <v>193</v>
      </c>
      <c r="C31" s="6" t="s">
        <v>205</v>
      </c>
      <c r="D31" s="19" t="s">
        <v>188</v>
      </c>
      <c r="E31" s="94">
        <v>4.5999999999999996</v>
      </c>
      <c r="F31" s="20">
        <v>22378.080000000002</v>
      </c>
      <c r="G31" s="4">
        <v>7616</v>
      </c>
      <c r="H31" s="22">
        <f>F31-G31</f>
        <v>14762.080000000002</v>
      </c>
      <c r="I31" s="41"/>
      <c r="L31" s="14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1.5</v>
      </c>
      <c r="F32" s="20">
        <f t="shared" si="1"/>
        <v>7297.2000000000016</v>
      </c>
      <c r="G32" s="4">
        <f t="shared" ref="G32" si="6">$N$23/$N$24*E32</f>
        <v>7297.2000000000016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23.299999999999997</v>
      </c>
      <c r="F33" s="53">
        <f>SUM(F24:F32)</f>
        <v>113349.84000000001</v>
      </c>
      <c r="G33" s="54">
        <f>SUM(G24:G32)</f>
        <v>98587.760000000009</v>
      </c>
      <c r="H33" s="35">
        <f>SUM(H24:H32)</f>
        <v>14762.080000000002</v>
      </c>
      <c r="I33" s="41"/>
    </row>
    <row r="34" spans="2:15">
      <c r="B34" s="14"/>
      <c r="C34" s="14"/>
      <c r="D34" s="14"/>
      <c r="E34" s="82"/>
      <c r="G34" s="82"/>
      <c r="O34" s="78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39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40"/>
      <c r="M36" s="187"/>
      <c r="N36" s="187"/>
    </row>
    <row r="37" spans="2:15">
      <c r="B37" s="88" t="s">
        <v>14</v>
      </c>
      <c r="C37" s="238">
        <f>E37+G37</f>
        <v>1053958.8809431647</v>
      </c>
      <c r="D37" s="239"/>
      <c r="E37" s="263">
        <f>F24+F25+F26+F27+F28+F29+F30+F32+E16</f>
        <v>783705.1309431647</v>
      </c>
      <c r="F37" s="264"/>
      <c r="G37" s="263">
        <f>F31+G16</f>
        <v>270253.74999999994</v>
      </c>
      <c r="H37" s="265"/>
      <c r="I37" s="73"/>
      <c r="J37" s="74"/>
      <c r="K37" s="7"/>
      <c r="L37" s="7"/>
      <c r="M37" s="188"/>
    </row>
    <row r="38" spans="2:15">
      <c r="B38" s="89" t="s">
        <v>15</v>
      </c>
      <c r="C38" s="235">
        <f>E38+G38</f>
        <v>1056055.1200000001</v>
      </c>
      <c r="D38" s="236"/>
      <c r="E38" s="235">
        <f>E17+91331.92</f>
        <v>788786.96000000008</v>
      </c>
      <c r="F38" s="236"/>
      <c r="G38" s="235">
        <f>G17+22466.67</f>
        <v>267268.16000000003</v>
      </c>
      <c r="H38" s="237"/>
      <c r="I38" s="73"/>
      <c r="J38" s="74"/>
      <c r="K38" s="9"/>
      <c r="L38" s="7"/>
      <c r="M38" s="188"/>
    </row>
    <row r="39" spans="2:15" ht="16.5" thickBot="1">
      <c r="B39" s="90" t="s">
        <v>176</v>
      </c>
      <c r="C39" s="269">
        <f>E39+G39</f>
        <v>1089861.372108598</v>
      </c>
      <c r="D39" s="270"/>
      <c r="E39" s="260">
        <f>G24+G25+G26+G27+G28+G29+G30+G32+E18</f>
        <v>777939.37210859801</v>
      </c>
      <c r="F39" s="261"/>
      <c r="G39" s="260">
        <f>G31+G18</f>
        <v>311922</v>
      </c>
      <c r="H39" s="262"/>
      <c r="I39" s="73"/>
      <c r="J39" s="74"/>
      <c r="K39" s="41"/>
      <c r="L39" s="41"/>
    </row>
    <row r="40" spans="2:15" ht="30.75" customHeight="1" thickBot="1">
      <c r="B40" s="92" t="s">
        <v>275</v>
      </c>
      <c r="C40" s="249">
        <f>E40+G40</f>
        <v>-33806.252108597895</v>
      </c>
      <c r="D40" s="250"/>
      <c r="E40" s="251">
        <f>E38-E39</f>
        <v>10847.587891402072</v>
      </c>
      <c r="F40" s="252"/>
      <c r="G40" s="251">
        <f>G38-G39</f>
        <v>-44653.839999999967</v>
      </c>
      <c r="H40" s="253"/>
      <c r="I40" s="73"/>
      <c r="J40" s="74"/>
      <c r="K40" s="41"/>
      <c r="L40" s="41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2"/>
      <c r="M41" s="186"/>
      <c r="N41" s="186"/>
      <c r="O41" s="2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2"/>
      <c r="M42" s="186"/>
      <c r="N42" s="186"/>
      <c r="O42" s="2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2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9" customHeight="1">
      <c r="E48" s="220"/>
    </row>
  </sheetData>
  <mergeCells count="54">
    <mergeCell ref="C43:E43"/>
    <mergeCell ref="C37:D37"/>
    <mergeCell ref="C38:D38"/>
    <mergeCell ref="C39:D39"/>
    <mergeCell ref="C40:D40"/>
    <mergeCell ref="E38:F38"/>
    <mergeCell ref="G38:H38"/>
    <mergeCell ref="E39:F39"/>
    <mergeCell ref="G39:H39"/>
    <mergeCell ref="C41:E41"/>
    <mergeCell ref="B1:H1"/>
    <mergeCell ref="D5:E5"/>
    <mergeCell ref="B2:H3"/>
    <mergeCell ref="G16:H16"/>
    <mergeCell ref="G36:H36"/>
    <mergeCell ref="B21:H21"/>
    <mergeCell ref="B22:B23"/>
    <mergeCell ref="C22:C23"/>
    <mergeCell ref="D22:D23"/>
    <mergeCell ref="E22:E23"/>
    <mergeCell ref="F22:G22"/>
    <mergeCell ref="H22:H23"/>
    <mergeCell ref="B35:H35"/>
    <mergeCell ref="E36:F36"/>
    <mergeCell ref="C36:D36"/>
    <mergeCell ref="C15:D15"/>
    <mergeCell ref="N21:N22"/>
    <mergeCell ref="E19:F19"/>
    <mergeCell ref="G19:H19"/>
    <mergeCell ref="M21:M22"/>
    <mergeCell ref="C17:D17"/>
    <mergeCell ref="C18:D18"/>
    <mergeCell ref="C19:D19"/>
    <mergeCell ref="B14:H14"/>
    <mergeCell ref="E15:F15"/>
    <mergeCell ref="G15:H15"/>
    <mergeCell ref="E16:F16"/>
    <mergeCell ref="C16:D16"/>
    <mergeCell ref="C45:E45"/>
    <mergeCell ref="C47:E47"/>
    <mergeCell ref="E17:F17"/>
    <mergeCell ref="G17:H17"/>
    <mergeCell ref="E18:F18"/>
    <mergeCell ref="G18:H18"/>
    <mergeCell ref="F47:G47"/>
    <mergeCell ref="F42:G42"/>
    <mergeCell ref="F43:G43"/>
    <mergeCell ref="E37:F37"/>
    <mergeCell ref="G37:H37"/>
    <mergeCell ref="F41:G41"/>
    <mergeCell ref="E40:F40"/>
    <mergeCell ref="G40:H40"/>
    <mergeCell ref="F44:G44"/>
    <mergeCell ref="F45:G45"/>
  </mergeCells>
  <printOptions horizontalCentered="1"/>
  <pageMargins left="0.19685039370078741" right="0.19685039370078741" top="0.31496062992125984" bottom="0.23622047244094491" header="0.31496062992125984" footer="0.24"/>
  <pageSetup paperSize="9" scale="4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7.5703125" style="3" customWidth="1"/>
    <col min="3" max="3" width="20" style="78" customWidth="1"/>
    <col min="4" max="4" width="8.85546875" style="78" customWidth="1"/>
    <col min="5" max="5" width="10.28515625" style="78" customWidth="1"/>
    <col min="6" max="6" width="9.42578125" style="3" customWidth="1"/>
    <col min="7" max="7" width="10.42578125" style="3" customWidth="1"/>
    <col min="8" max="8" width="10.42578125" style="78" customWidth="1"/>
    <col min="9" max="9" width="10.7109375" style="3" bestFit="1" customWidth="1"/>
    <col min="10" max="12" width="9.140625" style="3"/>
    <col min="13" max="14" width="12.71093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4" customHeight="1">
      <c r="A3" s="56"/>
      <c r="B3" s="231"/>
      <c r="C3" s="231"/>
      <c r="D3" s="231"/>
      <c r="E3" s="231"/>
      <c r="F3" s="231"/>
      <c r="G3" s="231"/>
      <c r="H3" s="231"/>
    </row>
    <row r="4" spans="1:9" ht="10.5" customHeight="1"/>
    <row r="5" spans="1:9">
      <c r="B5" s="8" t="s">
        <v>0</v>
      </c>
      <c r="C5" s="45"/>
      <c r="D5" s="233" t="s">
        <v>89</v>
      </c>
      <c r="E5" s="233"/>
    </row>
    <row r="6" spans="1:9">
      <c r="B6" s="8" t="s">
        <v>1</v>
      </c>
      <c r="C6" s="45"/>
      <c r="D6" s="217">
        <v>1973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16</v>
      </c>
      <c r="E8" s="217"/>
    </row>
    <row r="9" spans="1:9" ht="30.75" hidden="1" customHeight="1" outlineLevel="1">
      <c r="B9" s="111" t="s">
        <v>4</v>
      </c>
      <c r="C9" s="122"/>
      <c r="D9" s="217" t="s">
        <v>90</v>
      </c>
      <c r="E9" s="217"/>
    </row>
    <row r="10" spans="1:9" collapsed="1">
      <c r="B10" s="8" t="s">
        <v>5</v>
      </c>
      <c r="C10" s="45"/>
      <c r="D10" s="217" t="s">
        <v>236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91</v>
      </c>
      <c r="E12" s="216"/>
      <c r="I12" s="14"/>
    </row>
    <row r="13" spans="1:9" ht="6.7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1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1349578.9652369558</v>
      </c>
      <c r="D16" s="273"/>
      <c r="E16" s="263">
        <v>951277.59523695579</v>
      </c>
      <c r="F16" s="264"/>
      <c r="G16" s="263">
        <v>398301.37</v>
      </c>
      <c r="H16" s="265"/>
      <c r="I16" s="14"/>
    </row>
    <row r="17" spans="2:15">
      <c r="B17" s="89" t="s">
        <v>15</v>
      </c>
      <c r="C17" s="235">
        <v>1296040.6000000001</v>
      </c>
      <c r="D17" s="236"/>
      <c r="E17" s="235">
        <v>917321.47</v>
      </c>
      <c r="F17" s="236"/>
      <c r="G17" s="235">
        <v>378719.13</v>
      </c>
      <c r="H17" s="237"/>
      <c r="I17" s="14"/>
    </row>
    <row r="18" spans="2:15" ht="16.5" thickBot="1">
      <c r="B18" s="90" t="s">
        <v>176</v>
      </c>
      <c r="C18" s="235">
        <v>1297154.437953386</v>
      </c>
      <c r="D18" s="236"/>
      <c r="E18" s="260">
        <v>956807.43795338611</v>
      </c>
      <c r="F18" s="261"/>
      <c r="G18" s="260">
        <v>340347</v>
      </c>
      <c r="H18" s="262"/>
      <c r="I18" s="14"/>
    </row>
    <row r="19" spans="2:15" ht="31.5" customHeight="1" thickBot="1">
      <c r="B19" s="92" t="s">
        <v>274</v>
      </c>
      <c r="C19" s="249">
        <f>E19+G19</f>
        <v>-1113.8379533861298</v>
      </c>
      <c r="D19" s="250"/>
      <c r="E19" s="251">
        <f>E17-E18</f>
        <v>-39485.967953386134</v>
      </c>
      <c r="F19" s="252"/>
      <c r="G19" s="251">
        <f>G17-G18</f>
        <v>38372.130000000005</v>
      </c>
      <c r="H19" s="253"/>
      <c r="I19" s="14"/>
    </row>
    <row r="20" spans="2:15" ht="12" customHeight="1">
      <c r="B20" s="11"/>
      <c r="C20" s="61"/>
      <c r="D20" s="87"/>
      <c r="E20" s="216"/>
      <c r="F20" s="78"/>
      <c r="I20" s="14"/>
    </row>
    <row r="21" spans="2:15" ht="18.75" customHeight="1" thickBot="1">
      <c r="B21" s="254" t="s">
        <v>302</v>
      </c>
      <c r="C21" s="254"/>
      <c r="D21" s="254"/>
      <c r="E21" s="254"/>
      <c r="F21" s="254"/>
      <c r="G21" s="254"/>
      <c r="H21" s="254"/>
      <c r="L21" s="14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4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132550.56</v>
      </c>
      <c r="N23" s="204">
        <f>M23</f>
        <v>132550.56</v>
      </c>
    </row>
    <row r="24" spans="2:15" ht="56.25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24771.744000000002</v>
      </c>
      <c r="G24" s="21">
        <f>$N$23/$N$24*E24</f>
        <v>24771.744000000002</v>
      </c>
      <c r="H24" s="22">
        <f>F24-G24</f>
        <v>0</v>
      </c>
      <c r="I24" s="57"/>
      <c r="J24" s="24"/>
      <c r="K24" s="24"/>
      <c r="L24" s="25"/>
      <c r="M24" s="205">
        <f>E33-E31</f>
        <v>18.299999999999997</v>
      </c>
      <c r="N24" s="205">
        <f>E33-E31</f>
        <v>18.299999999999997</v>
      </c>
      <c r="O24" s="24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27524.16</v>
      </c>
      <c r="G25" s="4">
        <f>$N$23/$N$24*E25</f>
        <v>27524.16</v>
      </c>
      <c r="H25" s="22">
        <f t="shared" ref="H25:H30" si="0">F25-G25</f>
        <v>0</v>
      </c>
      <c r="I25" s="58"/>
      <c r="J25" s="2"/>
      <c r="K25" s="2"/>
      <c r="L25" s="2"/>
      <c r="M25" s="186"/>
      <c r="N25" s="186"/>
      <c r="O25" s="2"/>
    </row>
    <row r="26" spans="2:15" ht="56.25">
      <c r="B26" s="27" t="s">
        <v>171</v>
      </c>
      <c r="C26" s="6" t="s">
        <v>205</v>
      </c>
      <c r="D26" s="19" t="s">
        <v>188</v>
      </c>
      <c r="E26" s="94">
        <v>0.32</v>
      </c>
      <c r="F26" s="20">
        <f>$M$23/$M$24*E26</f>
        <v>2317.8240000000001</v>
      </c>
      <c r="G26" s="4">
        <f>$N$23/$N$24*E26</f>
        <v>2317.8240000000001</v>
      </c>
      <c r="H26" s="22">
        <f t="shared" si="0"/>
        <v>0</v>
      </c>
      <c r="I26" s="41"/>
      <c r="L26" s="14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>$M$23/$M$24*E27</f>
        <v>4635.6480000000001</v>
      </c>
      <c r="G27" s="4">
        <f>$N$23/$N$24*E27</f>
        <v>4635.6480000000001</v>
      </c>
      <c r="H27" s="22">
        <f t="shared" si="0"/>
        <v>0</v>
      </c>
      <c r="I27" s="41"/>
      <c r="L27" s="14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ref="F28:F32" si="1">$M$23/$M$24*E28</f>
        <v>11009.664000000001</v>
      </c>
      <c r="G28" s="4">
        <f t="shared" ref="G28:G29" si="2">$N$23/$N$24*E28</f>
        <v>11009.664000000001</v>
      </c>
      <c r="H28" s="22">
        <f t="shared" si="0"/>
        <v>0</v>
      </c>
      <c r="I28" s="41"/>
    </row>
    <row r="29" spans="2:15" ht="221.2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1"/>
        <v>51933.744000000006</v>
      </c>
      <c r="G29" s="4">
        <f t="shared" si="2"/>
        <v>51933.744000000006</v>
      </c>
      <c r="H29" s="22">
        <f t="shared" si="0"/>
        <v>0</v>
      </c>
      <c r="I29" s="58"/>
      <c r="J29" s="2"/>
      <c r="K29" s="2"/>
      <c r="L29" s="1"/>
      <c r="M29" s="186"/>
      <c r="N29" s="186"/>
    </row>
    <row r="30" spans="2:15" ht="102">
      <c r="B30" s="26" t="s">
        <v>192</v>
      </c>
      <c r="C30" s="6" t="s">
        <v>205</v>
      </c>
      <c r="D30" s="19" t="s">
        <v>188</v>
      </c>
      <c r="E30" s="94">
        <v>0.35</v>
      </c>
      <c r="F30" s="20">
        <f t="shared" si="1"/>
        <v>2535.12</v>
      </c>
      <c r="G30" s="4">
        <f t="shared" ref="G30" si="3">$N$23/$N$24*E30</f>
        <v>2535.12</v>
      </c>
      <c r="H30" s="22">
        <f t="shared" si="0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5</v>
      </c>
      <c r="F31" s="20">
        <v>36216</v>
      </c>
      <c r="G31" s="4">
        <v>0</v>
      </c>
      <c r="H31" s="22">
        <f>F31-G31</f>
        <v>36216</v>
      </c>
      <c r="I31" s="41"/>
      <c r="L31" s="14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1.08</v>
      </c>
      <c r="F32" s="20">
        <f t="shared" si="1"/>
        <v>7822.6560000000009</v>
      </c>
      <c r="G32" s="4">
        <f t="shared" ref="G32" si="4">$N$23/$N$24*E32</f>
        <v>7822.6560000000009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23.299999999999997</v>
      </c>
      <c r="F33" s="53">
        <f>SUM(F24:F32)</f>
        <v>168766.56</v>
      </c>
      <c r="G33" s="54">
        <f>SUM(G24:G32)</f>
        <v>132550.56</v>
      </c>
      <c r="H33" s="35">
        <f>SUM(H24:H32)</f>
        <v>36216</v>
      </c>
      <c r="I33" s="41"/>
    </row>
    <row r="34" spans="2:15">
      <c r="B34" s="14"/>
      <c r="C34" s="14"/>
      <c r="D34" s="14"/>
      <c r="E34" s="82"/>
      <c r="F34" s="82"/>
      <c r="G34" s="82"/>
      <c r="O34" s="78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40"/>
      <c r="M36" s="187"/>
      <c r="N36" s="187"/>
    </row>
    <row r="37" spans="2:15">
      <c r="B37" s="88" t="s">
        <v>14</v>
      </c>
      <c r="C37" s="238">
        <f>E37+G37</f>
        <v>1518345.5252369558</v>
      </c>
      <c r="D37" s="239"/>
      <c r="E37" s="263">
        <f>F24+F25+F26+F27+F28+F29+F30+F32+E16</f>
        <v>1083828.1552369557</v>
      </c>
      <c r="F37" s="264"/>
      <c r="G37" s="263">
        <f>F31+G16</f>
        <v>434517.37</v>
      </c>
      <c r="H37" s="265"/>
      <c r="I37" s="73"/>
      <c r="J37" s="74"/>
      <c r="K37" s="7"/>
      <c r="L37" s="7"/>
      <c r="M37" s="188"/>
    </row>
    <row r="38" spans="2:15">
      <c r="B38" s="89" t="s">
        <v>15</v>
      </c>
      <c r="C38" s="235">
        <f>E38+G38</f>
        <v>1440618.18</v>
      </c>
      <c r="D38" s="236"/>
      <c r="E38" s="235">
        <f>E17+113552.35</f>
        <v>1030873.82</v>
      </c>
      <c r="F38" s="236"/>
      <c r="G38" s="235">
        <f>G17+31025.23</f>
        <v>409744.36</v>
      </c>
      <c r="H38" s="237"/>
      <c r="I38" s="73"/>
      <c r="J38" s="74"/>
      <c r="K38" s="9"/>
      <c r="L38" s="7"/>
      <c r="M38" s="188"/>
    </row>
    <row r="39" spans="2:15" ht="16.5" thickBot="1">
      <c r="B39" s="90" t="s">
        <v>176</v>
      </c>
      <c r="C39" s="269">
        <f>E39+G39</f>
        <v>1429704.997953386</v>
      </c>
      <c r="D39" s="270"/>
      <c r="E39" s="260">
        <f>G24+G25+G26+G27+G28+G29+G30+G32+E18</f>
        <v>1089357.997953386</v>
      </c>
      <c r="F39" s="261"/>
      <c r="G39" s="260">
        <f>G31+G18</f>
        <v>340347</v>
      </c>
      <c r="H39" s="262"/>
      <c r="I39" s="73"/>
      <c r="J39" s="74"/>
      <c r="K39" s="41"/>
      <c r="L39" s="41"/>
    </row>
    <row r="40" spans="2:15" ht="25.5" thickBot="1">
      <c r="B40" s="92" t="s">
        <v>275</v>
      </c>
      <c r="C40" s="249">
        <f>E40+G40</f>
        <v>10913.182046613889</v>
      </c>
      <c r="D40" s="250"/>
      <c r="E40" s="251">
        <f>E38-E39</f>
        <v>-58484.177953386097</v>
      </c>
      <c r="F40" s="252"/>
      <c r="G40" s="251">
        <f>G38-G39</f>
        <v>69397.359999999986</v>
      </c>
      <c r="H40" s="253"/>
      <c r="I40" s="73"/>
      <c r="J40" s="74"/>
      <c r="K40" s="41"/>
      <c r="L40" s="41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2"/>
      <c r="M41" s="186"/>
      <c r="N41" s="186"/>
      <c r="O41" s="2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2"/>
      <c r="M42" s="186"/>
      <c r="N42" s="186"/>
      <c r="O42" s="2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2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9.75" customHeight="1">
      <c r="E48" s="220"/>
      <c r="F48" s="78"/>
    </row>
  </sheetData>
  <mergeCells count="54">
    <mergeCell ref="C41:E41"/>
    <mergeCell ref="C43:E43"/>
    <mergeCell ref="C45:E45"/>
    <mergeCell ref="G37:H37"/>
    <mergeCell ref="E40:F40"/>
    <mergeCell ref="E38:F38"/>
    <mergeCell ref="G38:H38"/>
    <mergeCell ref="E39:F39"/>
    <mergeCell ref="G39:H39"/>
    <mergeCell ref="G40:H40"/>
    <mergeCell ref="B22:B23"/>
    <mergeCell ref="C22:C23"/>
    <mergeCell ref="D22:D23"/>
    <mergeCell ref="E22:E23"/>
    <mergeCell ref="C36:D36"/>
    <mergeCell ref="B1:H1"/>
    <mergeCell ref="F47:G47"/>
    <mergeCell ref="F43:G43"/>
    <mergeCell ref="F44:G44"/>
    <mergeCell ref="D5:E5"/>
    <mergeCell ref="B21:H21"/>
    <mergeCell ref="F22:G22"/>
    <mergeCell ref="H22:H23"/>
    <mergeCell ref="B2:H3"/>
    <mergeCell ref="B35:H35"/>
    <mergeCell ref="B14:H14"/>
    <mergeCell ref="E15:F15"/>
    <mergeCell ref="G15:H15"/>
    <mergeCell ref="E16:F16"/>
    <mergeCell ref="G16:H16"/>
    <mergeCell ref="C15:D15"/>
    <mergeCell ref="C16:D16"/>
    <mergeCell ref="E17:F17"/>
    <mergeCell ref="G17:H17"/>
    <mergeCell ref="E18:F18"/>
    <mergeCell ref="G18:H18"/>
    <mergeCell ref="C17:D17"/>
    <mergeCell ref="C18:D18"/>
    <mergeCell ref="C47:E47"/>
    <mergeCell ref="N21:N22"/>
    <mergeCell ref="E19:F19"/>
    <mergeCell ref="G19:H19"/>
    <mergeCell ref="M21:M22"/>
    <mergeCell ref="C19:D19"/>
    <mergeCell ref="C40:D40"/>
    <mergeCell ref="E36:F36"/>
    <mergeCell ref="G36:H36"/>
    <mergeCell ref="C37:D37"/>
    <mergeCell ref="C38:D38"/>
    <mergeCell ref="C39:D39"/>
    <mergeCell ref="F41:G41"/>
    <mergeCell ref="F42:G42"/>
    <mergeCell ref="F45:G45"/>
    <mergeCell ref="E37:F37"/>
  </mergeCells>
  <printOptions horizontalCentered="1"/>
  <pageMargins left="0.19685039370078741" right="0.19685039370078741" top="0.15748031496062992" bottom="0.27559055118110237" header="0.31496062992125984" footer="0.23622047244094491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1"/>
  <sheetViews>
    <sheetView topLeftCell="A32" zoomScale="110" zoomScaleNormal="110" workbookViewId="0">
      <selection activeCell="B1" sqref="B1:H50"/>
    </sheetView>
  </sheetViews>
  <sheetFormatPr defaultColWidth="9.140625" defaultRowHeight="15.75" outlineLevelRow="1"/>
  <cols>
    <col min="1" max="1" width="2.85546875" style="3" customWidth="1"/>
    <col min="2" max="2" width="56.5703125" style="3" customWidth="1"/>
    <col min="3" max="3" width="21.140625" style="82" customWidth="1"/>
    <col min="4" max="4" width="8.28515625" style="78" customWidth="1"/>
    <col min="5" max="5" width="10.140625" style="78" customWidth="1"/>
    <col min="6" max="6" width="10.28515625" style="78" customWidth="1"/>
    <col min="7" max="7" width="10.28515625" style="3" customWidth="1"/>
    <col min="8" max="8" width="10.7109375" style="3" customWidth="1"/>
    <col min="9" max="9" width="10" style="3" customWidth="1"/>
    <col min="10" max="10" width="11.5703125" style="3" customWidth="1"/>
    <col min="11" max="11" width="9.5703125" style="3" bestFit="1" customWidth="1"/>
    <col min="12" max="12" width="11.140625" style="3" customWidth="1"/>
    <col min="13" max="14" width="14.42578125" style="185" customWidth="1"/>
    <col min="15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9.5" customHeight="1">
      <c r="B2" s="231" t="s">
        <v>306</v>
      </c>
      <c r="C2" s="231"/>
      <c r="D2" s="231"/>
      <c r="E2" s="231"/>
      <c r="F2" s="231"/>
      <c r="G2" s="231"/>
      <c r="H2" s="231"/>
    </row>
    <row r="3" spans="2:9" ht="24.75" customHeight="1">
      <c r="B3" s="231"/>
      <c r="C3" s="231"/>
      <c r="D3" s="231"/>
      <c r="E3" s="231"/>
      <c r="F3" s="231"/>
      <c r="G3" s="231"/>
      <c r="H3" s="231"/>
    </row>
    <row r="4" spans="2:9" ht="12" customHeight="1"/>
    <row r="5" spans="2:9">
      <c r="B5" s="8" t="s">
        <v>0</v>
      </c>
      <c r="C5" s="114"/>
      <c r="D5" s="233" t="s">
        <v>16</v>
      </c>
      <c r="E5" s="233"/>
    </row>
    <row r="6" spans="2:9">
      <c r="B6" s="8" t="s">
        <v>1</v>
      </c>
      <c r="C6" s="114"/>
      <c r="D6" s="217">
        <v>1962</v>
      </c>
      <c r="E6" s="217"/>
    </row>
    <row r="7" spans="2:9" hidden="1" outlineLevel="1">
      <c r="B7" s="8" t="s">
        <v>2</v>
      </c>
      <c r="C7" s="114"/>
      <c r="D7" s="217">
        <v>2</v>
      </c>
      <c r="E7" s="217"/>
    </row>
    <row r="8" spans="2:9" hidden="1" outlineLevel="1">
      <c r="B8" s="8" t="s">
        <v>3</v>
      </c>
      <c r="C8" s="114"/>
      <c r="D8" s="217">
        <v>16</v>
      </c>
      <c r="E8" s="217"/>
    </row>
    <row r="9" spans="2:9" ht="30.75" hidden="1" customHeight="1" outlineLevel="1">
      <c r="B9" s="111" t="s">
        <v>4</v>
      </c>
      <c r="C9" s="115"/>
      <c r="D9" s="217" t="s">
        <v>18</v>
      </c>
      <c r="E9" s="217"/>
    </row>
    <row r="10" spans="2:9" collapsed="1">
      <c r="B10" s="8" t="s">
        <v>5</v>
      </c>
      <c r="C10" s="114"/>
      <c r="D10" s="217" t="s">
        <v>210</v>
      </c>
      <c r="E10" s="217"/>
      <c r="I10" s="14"/>
    </row>
    <row r="11" spans="2:9" hidden="1" outlineLevel="1">
      <c r="B11" s="3" t="s">
        <v>6</v>
      </c>
      <c r="D11" s="216" t="s">
        <v>12</v>
      </c>
      <c r="E11" s="216"/>
    </row>
    <row r="12" spans="2:9" ht="30.75" hidden="1" customHeight="1" outlineLevel="1">
      <c r="B12" s="11" t="s">
        <v>7</v>
      </c>
      <c r="C12" s="55"/>
      <c r="D12" s="87" t="s">
        <v>17</v>
      </c>
      <c r="E12" s="216"/>
      <c r="I12" s="14"/>
    </row>
    <row r="13" spans="2:9" ht="12" customHeight="1" collapsed="1">
      <c r="B13" s="11"/>
      <c r="C13" s="55"/>
      <c r="D13" s="87"/>
      <c r="E13" s="216"/>
      <c r="I13" s="14"/>
    </row>
    <row r="14" spans="2:9" ht="18" customHeight="1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2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 ht="15.75" customHeight="1">
      <c r="B16" s="88" t="s">
        <v>14</v>
      </c>
      <c r="C16" s="238">
        <v>1373763.9469973096</v>
      </c>
      <c r="D16" s="273"/>
      <c r="E16" s="263">
        <v>973209.44699730969</v>
      </c>
      <c r="F16" s="264"/>
      <c r="G16" s="263">
        <v>400554.5</v>
      </c>
      <c r="H16" s="265"/>
      <c r="I16" s="14"/>
    </row>
    <row r="17" spans="2:14" ht="15.75" customHeight="1">
      <c r="B17" s="89" t="s">
        <v>15</v>
      </c>
      <c r="C17" s="235">
        <v>1378132.71</v>
      </c>
      <c r="D17" s="236"/>
      <c r="E17" s="235">
        <v>991928.28999999992</v>
      </c>
      <c r="F17" s="236"/>
      <c r="G17" s="235">
        <v>386204.41999999993</v>
      </c>
      <c r="H17" s="237"/>
      <c r="I17" s="14"/>
    </row>
    <row r="18" spans="2:14" ht="15.75" customHeight="1">
      <c r="B18" s="90" t="s">
        <v>176</v>
      </c>
      <c r="C18" s="235">
        <v>1342105.45</v>
      </c>
      <c r="D18" s="236"/>
      <c r="E18" s="260">
        <v>973209.45</v>
      </c>
      <c r="F18" s="261"/>
      <c r="G18" s="260">
        <v>368896</v>
      </c>
      <c r="H18" s="262"/>
      <c r="I18" s="14"/>
    </row>
    <row r="19" spans="2:14" ht="15.75" customHeight="1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4" ht="30.75" customHeight="1" thickBot="1">
      <c r="B20" s="92" t="s">
        <v>274</v>
      </c>
      <c r="C20" s="249">
        <f>E20+G20</f>
        <v>68427.259999999893</v>
      </c>
      <c r="D20" s="250"/>
      <c r="E20" s="251">
        <f>E17+E19-E18</f>
        <v>51118.839999999967</v>
      </c>
      <c r="F20" s="252"/>
      <c r="G20" s="251">
        <f>G17-G18</f>
        <v>17308.419999999925</v>
      </c>
      <c r="H20" s="253"/>
      <c r="I20" s="14"/>
    </row>
    <row r="21" spans="2:14">
      <c r="B21" s="79"/>
      <c r="C21" s="79"/>
      <c r="D21" s="97"/>
      <c r="E21" s="222"/>
      <c r="F21" s="222"/>
      <c r="G21" s="222"/>
      <c r="H21" s="222"/>
      <c r="I21" s="14"/>
    </row>
    <row r="22" spans="2:14" ht="24.75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4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I23" s="15"/>
      <c r="J23" s="15"/>
      <c r="L23" s="14"/>
      <c r="M23" s="242"/>
      <c r="N23" s="242"/>
    </row>
    <row r="24" spans="2:14" ht="4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I24" s="15"/>
      <c r="J24" s="15"/>
      <c r="M24" s="204">
        <v>138433.39000000001</v>
      </c>
      <c r="N24" s="204">
        <f>M24</f>
        <v>138433.39000000001</v>
      </c>
    </row>
    <row r="25" spans="2:14" ht="50.25" customHeight="1">
      <c r="B25" s="18" t="s">
        <v>178</v>
      </c>
      <c r="C25" s="6" t="s">
        <v>205</v>
      </c>
      <c r="D25" s="19" t="s">
        <v>188</v>
      </c>
      <c r="E25" s="93">
        <v>3.75</v>
      </c>
      <c r="F25" s="20">
        <f>$M$24/$M$25*E25</f>
        <v>28633.492140099283</v>
      </c>
      <c r="G25" s="21">
        <f>$N$24/$N$25*E25</f>
        <v>28633.492140099283</v>
      </c>
      <c r="H25" s="22">
        <f>F25-G25</f>
        <v>0</v>
      </c>
      <c r="I25" s="23"/>
      <c r="J25" s="23"/>
      <c r="K25" s="24"/>
      <c r="L25" s="25"/>
      <c r="M25" s="205">
        <f>E34-E32</f>
        <v>18.130000000000003</v>
      </c>
      <c r="N25" s="205">
        <f>E34-E32</f>
        <v>18.130000000000003</v>
      </c>
    </row>
    <row r="26" spans="2:14" ht="56.25">
      <c r="B26" s="26" t="s">
        <v>189</v>
      </c>
      <c r="C26" s="6" t="s">
        <v>205</v>
      </c>
      <c r="D26" s="19" t="s">
        <v>188</v>
      </c>
      <c r="E26" s="94">
        <v>0</v>
      </c>
      <c r="F26" s="20">
        <f>$M$24/$M$25*E26</f>
        <v>0</v>
      </c>
      <c r="G26" s="21">
        <f>$N$24/$N$25*E26</f>
        <v>0</v>
      </c>
      <c r="H26" s="22">
        <f t="shared" ref="H26:H31" si="0">F26-G26</f>
        <v>0</v>
      </c>
      <c r="I26" s="23"/>
      <c r="J26" s="23"/>
      <c r="K26" s="2"/>
      <c r="L26" s="2"/>
      <c r="M26" s="186"/>
      <c r="N26" s="186"/>
    </row>
    <row r="27" spans="2:14" ht="55.5" customHeight="1">
      <c r="B27" s="27" t="s">
        <v>171</v>
      </c>
      <c r="C27" s="6" t="s">
        <v>205</v>
      </c>
      <c r="D27" s="19" t="s">
        <v>188</v>
      </c>
      <c r="E27" s="94">
        <v>0.35</v>
      </c>
      <c r="F27" s="20">
        <f t="shared" ref="F27:F33" si="1">$M$24/$M$25*E27</f>
        <v>2672.4592664092661</v>
      </c>
      <c r="G27" s="21">
        <f t="shared" ref="G27:G30" si="2">$N$24/$N$25*E27</f>
        <v>2672.4592664092661</v>
      </c>
      <c r="H27" s="22">
        <f t="shared" si="0"/>
        <v>0</v>
      </c>
      <c r="I27" s="23"/>
      <c r="J27" s="23"/>
      <c r="L27" s="14"/>
    </row>
    <row r="28" spans="2:14" ht="29.25" customHeight="1">
      <c r="B28" s="27" t="s">
        <v>172</v>
      </c>
      <c r="C28" s="28" t="s">
        <v>190</v>
      </c>
      <c r="D28" s="19" t="s">
        <v>188</v>
      </c>
      <c r="E28" s="94">
        <v>0.7</v>
      </c>
      <c r="F28" s="20">
        <f t="shared" si="1"/>
        <v>5344.9185328185322</v>
      </c>
      <c r="G28" s="21">
        <f t="shared" si="2"/>
        <v>5344.9185328185322</v>
      </c>
      <c r="H28" s="22">
        <f t="shared" si="0"/>
        <v>0</v>
      </c>
      <c r="I28" s="23"/>
      <c r="J28" s="23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2</v>
      </c>
      <c r="F29" s="20">
        <f t="shared" si="1"/>
        <v>15271.195808052951</v>
      </c>
      <c r="G29" s="21">
        <f t="shared" si="2"/>
        <v>15271.195808052951</v>
      </c>
      <c r="H29" s="22">
        <f t="shared" si="0"/>
        <v>0</v>
      </c>
      <c r="I29" s="23"/>
      <c r="J29" s="23"/>
    </row>
    <row r="30" spans="2:14" ht="229.5" customHeight="1">
      <c r="B30" s="26" t="s">
        <v>202</v>
      </c>
      <c r="C30" s="29" t="s">
        <v>191</v>
      </c>
      <c r="D30" s="19" t="s">
        <v>188</v>
      </c>
      <c r="E30" s="94">
        <v>8.75</v>
      </c>
      <c r="F30" s="20">
        <f t="shared" si="1"/>
        <v>66811.481660231657</v>
      </c>
      <c r="G30" s="21">
        <f t="shared" si="2"/>
        <v>66811.481660231657</v>
      </c>
      <c r="H30" s="22">
        <f t="shared" si="0"/>
        <v>0</v>
      </c>
      <c r="I30" s="23"/>
      <c r="J30" s="23"/>
      <c r="K30" s="2"/>
      <c r="L30" s="1"/>
      <c r="M30" s="186"/>
      <c r="N30" s="186"/>
    </row>
    <row r="31" spans="2:14" ht="125.25" customHeight="1">
      <c r="B31" s="26" t="s">
        <v>192</v>
      </c>
      <c r="C31" s="6" t="s">
        <v>205</v>
      </c>
      <c r="D31" s="19" t="s">
        <v>188</v>
      </c>
      <c r="E31" s="94">
        <v>0.95</v>
      </c>
      <c r="F31" s="20">
        <f t="shared" si="1"/>
        <v>7253.8180088251511</v>
      </c>
      <c r="G31" s="21">
        <f t="shared" ref="G31" si="3">$N$24/$N$25*E31</f>
        <v>7253.8180088251511</v>
      </c>
      <c r="H31" s="22">
        <f t="shared" si="0"/>
        <v>0</v>
      </c>
      <c r="I31" s="23"/>
      <c r="J31" s="23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4.8499999999999996</v>
      </c>
      <c r="F32" s="20">
        <v>37032.65</v>
      </c>
      <c r="G32" s="4">
        <v>2968</v>
      </c>
      <c r="H32" s="22">
        <f>F32-G32</f>
        <v>34064.65</v>
      </c>
      <c r="I32" s="23"/>
      <c r="J32" s="23"/>
      <c r="L32" s="14"/>
    </row>
    <row r="33" spans="2:14" ht="16.5" thickBot="1">
      <c r="B33" s="48" t="s">
        <v>173</v>
      </c>
      <c r="C33" s="49" t="s">
        <v>191</v>
      </c>
      <c r="D33" s="50" t="s">
        <v>188</v>
      </c>
      <c r="E33" s="98">
        <v>1.63</v>
      </c>
      <c r="F33" s="20">
        <f t="shared" si="1"/>
        <v>12446.024583563154</v>
      </c>
      <c r="G33" s="21">
        <f t="shared" ref="G33" si="4">$N$24/$N$25*E33</f>
        <v>12446.024583563154</v>
      </c>
      <c r="H33" s="30">
        <f>F33-G33</f>
        <v>0</v>
      </c>
      <c r="I33" s="23"/>
      <c r="J33" s="23"/>
    </row>
    <row r="34" spans="2:14" ht="16.5" thickBot="1">
      <c r="B34" s="51" t="s">
        <v>177</v>
      </c>
      <c r="C34" s="52"/>
      <c r="D34" s="52"/>
      <c r="E34" s="96">
        <f>SUM(E25:E33)</f>
        <v>22.98</v>
      </c>
      <c r="F34" s="53">
        <f>SUM(F25:F33)</f>
        <v>175466.03999999998</v>
      </c>
      <c r="G34" s="54">
        <f>SUM(G25:G33)</f>
        <v>141401.38999999998</v>
      </c>
      <c r="H34" s="35">
        <f>SUM(H25:H33)</f>
        <v>34064.65</v>
      </c>
      <c r="I34" s="36"/>
      <c r="J34" s="36"/>
    </row>
    <row r="35" spans="2:14">
      <c r="B35" s="14"/>
      <c r="C35" s="14"/>
      <c r="D35" s="14"/>
      <c r="E35" s="82"/>
      <c r="F35" s="82"/>
      <c r="G35" s="82"/>
      <c r="H35" s="78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4.2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38"/>
      <c r="J37" s="38"/>
      <c r="K37" s="39"/>
      <c r="L37" s="40"/>
      <c r="M37" s="187"/>
      <c r="N37" s="187"/>
    </row>
    <row r="38" spans="2:14">
      <c r="B38" s="88" t="s">
        <v>14</v>
      </c>
      <c r="C38" s="238">
        <f>E38+G38</f>
        <v>1549229.9869973096</v>
      </c>
      <c r="D38" s="239"/>
      <c r="E38" s="263">
        <f>F25+F26+F27+F28+F29+F30+F31+F33+E16</f>
        <v>1111642.8369973097</v>
      </c>
      <c r="F38" s="264"/>
      <c r="G38" s="263">
        <f>F32+G16</f>
        <v>437587.15</v>
      </c>
      <c r="H38" s="265"/>
      <c r="I38" s="222"/>
      <c r="J38" s="222"/>
      <c r="K38" s="7"/>
      <c r="L38" s="7"/>
      <c r="M38" s="188"/>
    </row>
    <row r="39" spans="2:14">
      <c r="B39" s="89" t="s">
        <v>15</v>
      </c>
      <c r="C39" s="235">
        <f>E39+G39</f>
        <v>1553542.5499999998</v>
      </c>
      <c r="D39" s="236"/>
      <c r="E39" s="235">
        <f>E17+138389.05</f>
        <v>1130317.3399999999</v>
      </c>
      <c r="F39" s="236"/>
      <c r="G39" s="235">
        <f>G17+37020.79</f>
        <v>423225.2099999999</v>
      </c>
      <c r="H39" s="237"/>
      <c r="I39" s="222"/>
      <c r="J39" s="222"/>
      <c r="K39" s="9"/>
      <c r="L39" s="7"/>
      <c r="M39" s="188"/>
    </row>
    <row r="40" spans="2:14">
      <c r="B40" s="90" t="s">
        <v>176</v>
      </c>
      <c r="C40" s="235">
        <f>E40+G40</f>
        <v>1483506.8399999999</v>
      </c>
      <c r="D40" s="236"/>
      <c r="E40" s="260">
        <f>G25+G26+G27+G28+G29+G30+G31+G33+E18</f>
        <v>1111642.8399999999</v>
      </c>
      <c r="F40" s="261"/>
      <c r="G40" s="260">
        <f>G32+G18</f>
        <v>371864</v>
      </c>
      <c r="H40" s="262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222"/>
      <c r="J41" s="222"/>
      <c r="K41" s="41"/>
      <c r="L41" s="41"/>
    </row>
    <row r="42" spans="2:14" ht="36.75" thickBot="1">
      <c r="B42" s="92" t="s">
        <v>275</v>
      </c>
      <c r="C42" s="249">
        <f>E42+G42</f>
        <v>106035.7099999999</v>
      </c>
      <c r="D42" s="250"/>
      <c r="E42" s="251">
        <f>E39+E41-E40</f>
        <v>54674.5</v>
      </c>
      <c r="F42" s="252"/>
      <c r="G42" s="251">
        <f>G39-G40</f>
        <v>51361.209999999905</v>
      </c>
      <c r="H42" s="253"/>
      <c r="I42" s="222"/>
      <c r="J42" s="222"/>
      <c r="K42" s="41"/>
      <c r="L42" s="41"/>
    </row>
    <row r="43" spans="2:14" ht="12" customHeight="1">
      <c r="B43" s="79"/>
      <c r="C43" s="100"/>
      <c r="D43" s="100"/>
      <c r="E43" s="101"/>
      <c r="F43" s="81"/>
      <c r="G43" s="81"/>
      <c r="H43" s="219"/>
      <c r="I43" s="219"/>
      <c r="J43" s="219"/>
      <c r="K43" s="2"/>
      <c r="L43" s="2"/>
      <c r="M43" s="186"/>
      <c r="N43" s="186"/>
    </row>
    <row r="44" spans="2:14" ht="15" customHeight="1">
      <c r="B44" s="219" t="s">
        <v>167</v>
      </c>
      <c r="C44" s="266" t="s">
        <v>284</v>
      </c>
      <c r="D44" s="266"/>
      <c r="E44" s="266"/>
      <c r="F44" s="267" t="s">
        <v>293</v>
      </c>
      <c r="G44" s="267"/>
      <c r="H44" s="218"/>
      <c r="I44" s="218"/>
      <c r="J44" s="218"/>
      <c r="K44" s="2"/>
      <c r="L44" s="2"/>
      <c r="M44" s="186"/>
      <c r="N44" s="186"/>
    </row>
    <row r="45" spans="2:14" ht="12.75" customHeight="1">
      <c r="B45" s="219"/>
      <c r="C45" s="219"/>
      <c r="D45" s="219"/>
      <c r="E45" s="220"/>
      <c r="F45" s="259"/>
      <c r="G45" s="259"/>
      <c r="H45" s="219"/>
      <c r="I45" s="219"/>
      <c r="J45" s="219"/>
      <c r="K45" s="2"/>
      <c r="L45" s="2"/>
      <c r="M45" s="186"/>
      <c r="N45" s="186"/>
    </row>
    <row r="46" spans="2:14" ht="13.5" customHeight="1">
      <c r="B46" s="219" t="s">
        <v>168</v>
      </c>
      <c r="C46" s="266" t="s">
        <v>284</v>
      </c>
      <c r="D46" s="266"/>
      <c r="E46" s="266"/>
      <c r="F46" s="267" t="s">
        <v>195</v>
      </c>
      <c r="G46" s="267"/>
      <c r="H46" s="219"/>
      <c r="I46" s="219"/>
      <c r="J46" s="219"/>
    </row>
    <row r="47" spans="2:14" ht="11.25" customHeight="1">
      <c r="B47" s="219"/>
      <c r="C47" s="219"/>
      <c r="D47" s="219"/>
      <c r="E47" s="220"/>
      <c r="F47" s="267"/>
      <c r="G47" s="267"/>
      <c r="H47" s="219"/>
      <c r="I47" s="219"/>
      <c r="J47" s="219"/>
    </row>
    <row r="48" spans="2:14" ht="16.5" customHeight="1">
      <c r="B48" s="219" t="s">
        <v>169</v>
      </c>
      <c r="C48" s="266" t="s">
        <v>284</v>
      </c>
      <c r="D48" s="266"/>
      <c r="E48" s="266"/>
      <c r="F48" s="267" t="s">
        <v>294</v>
      </c>
      <c r="G48" s="267"/>
      <c r="H48" s="45"/>
      <c r="I48" s="45"/>
      <c r="J48" s="45"/>
    </row>
    <row r="49" spans="2:7" ht="9" customHeight="1">
      <c r="B49" s="42"/>
      <c r="C49" s="42"/>
      <c r="D49" s="42"/>
      <c r="E49" s="220"/>
      <c r="F49" s="43"/>
      <c r="G49" s="44"/>
    </row>
    <row r="50" spans="2:7">
      <c r="B50" s="219" t="s">
        <v>170</v>
      </c>
      <c r="C50" s="266" t="s">
        <v>284</v>
      </c>
      <c r="D50" s="266"/>
      <c r="E50" s="266"/>
      <c r="F50" s="267" t="s">
        <v>294</v>
      </c>
      <c r="G50" s="267"/>
    </row>
    <row r="51" spans="2:7">
      <c r="B51" s="46"/>
      <c r="C51" s="46"/>
      <c r="D51" s="83"/>
      <c r="E51" s="83"/>
      <c r="F51" s="84"/>
      <c r="G51" s="84"/>
    </row>
  </sheetData>
  <mergeCells count="60">
    <mergeCell ref="C48:E48"/>
    <mergeCell ref="F48:G48"/>
    <mergeCell ref="C50:E50"/>
    <mergeCell ref="F50:G50"/>
    <mergeCell ref="E19:F19"/>
    <mergeCell ref="G19:H19"/>
    <mergeCell ref="E20:F20"/>
    <mergeCell ref="G20:H20"/>
    <mergeCell ref="C19:D19"/>
    <mergeCell ref="C20:D20"/>
    <mergeCell ref="G40:H40"/>
    <mergeCell ref="E41:F41"/>
    <mergeCell ref="G41:H41"/>
    <mergeCell ref="C40:D40"/>
    <mergeCell ref="C41:D41"/>
    <mergeCell ref="E40:F40"/>
    <mergeCell ref="C16:D16"/>
    <mergeCell ref="E17:F17"/>
    <mergeCell ref="G17:H17"/>
    <mergeCell ref="E18:F18"/>
    <mergeCell ref="G18:H18"/>
    <mergeCell ref="C17:D17"/>
    <mergeCell ref="C18:D18"/>
    <mergeCell ref="B1:H1"/>
    <mergeCell ref="B22:H22"/>
    <mergeCell ref="B23:B24"/>
    <mergeCell ref="C23:C24"/>
    <mergeCell ref="D23:D24"/>
    <mergeCell ref="E23:E24"/>
    <mergeCell ref="F23:G23"/>
    <mergeCell ref="H23:H24"/>
    <mergeCell ref="B2:H3"/>
    <mergeCell ref="D5:E5"/>
    <mergeCell ref="B14:H14"/>
    <mergeCell ref="E15:F15"/>
    <mergeCell ref="G15:H15"/>
    <mergeCell ref="E16:F16"/>
    <mergeCell ref="G16:H16"/>
    <mergeCell ref="C15:D15"/>
    <mergeCell ref="M22:M23"/>
    <mergeCell ref="N22:N23"/>
    <mergeCell ref="C37:D37"/>
    <mergeCell ref="C38:D38"/>
    <mergeCell ref="C39:D39"/>
    <mergeCell ref="G37:H37"/>
    <mergeCell ref="E38:F38"/>
    <mergeCell ref="G38:H38"/>
    <mergeCell ref="E39:F39"/>
    <mergeCell ref="G39:H39"/>
    <mergeCell ref="E37:F37"/>
    <mergeCell ref="B36:H36"/>
    <mergeCell ref="E42:F42"/>
    <mergeCell ref="G42:H42"/>
    <mergeCell ref="C42:D42"/>
    <mergeCell ref="F47:G47"/>
    <mergeCell ref="F44:G44"/>
    <mergeCell ref="F45:G45"/>
    <mergeCell ref="F46:G46"/>
    <mergeCell ref="C44:E44"/>
    <mergeCell ref="C46:E46"/>
  </mergeCells>
  <pageMargins left="0.35" right="0.19685039370078741" top="0.16" bottom="0.31496062992125984" header="0.55118110236220474" footer="0.31496062992125984"/>
  <pageSetup paperSize="9" scale="48" orientation="portrait" horizontalDpi="180" verticalDpi="18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5703125" style="3" customWidth="1"/>
    <col min="3" max="3" width="21.28515625" style="78" customWidth="1"/>
    <col min="4" max="4" width="8.42578125" style="78" customWidth="1"/>
    <col min="5" max="5" width="9.42578125" style="78" customWidth="1"/>
    <col min="6" max="6" width="10.140625" style="3" customWidth="1"/>
    <col min="7" max="7" width="10.42578125" style="3" customWidth="1"/>
    <col min="8" max="8" width="10.85546875" style="78" customWidth="1"/>
    <col min="9" max="9" width="10.7109375" style="3" bestFit="1" customWidth="1"/>
    <col min="10" max="12" width="9.140625" style="3"/>
    <col min="13" max="13" width="13.7109375" style="185" customWidth="1"/>
    <col min="14" max="14" width="13.570312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3.25" customHeight="1">
      <c r="A3" s="56"/>
      <c r="B3" s="231"/>
      <c r="C3" s="231"/>
      <c r="D3" s="231"/>
      <c r="E3" s="231"/>
      <c r="F3" s="231"/>
      <c r="G3" s="231"/>
      <c r="H3" s="231"/>
    </row>
    <row r="4" spans="1:9" ht="9.75" customHeight="1"/>
    <row r="5" spans="1:9">
      <c r="B5" s="8" t="s">
        <v>0</v>
      </c>
      <c r="C5" s="45"/>
      <c r="D5" s="233" t="s">
        <v>92</v>
      </c>
      <c r="E5" s="233"/>
    </row>
    <row r="6" spans="1:9">
      <c r="B6" s="8" t="s">
        <v>1</v>
      </c>
      <c r="C6" s="45"/>
      <c r="D6" s="217">
        <v>1959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16</v>
      </c>
      <c r="E8" s="217"/>
    </row>
    <row r="9" spans="1:9" ht="30.75" hidden="1" customHeight="1" outlineLevel="1">
      <c r="B9" s="111" t="s">
        <v>4</v>
      </c>
      <c r="C9" s="122"/>
      <c r="D9" s="217" t="s">
        <v>93</v>
      </c>
      <c r="E9" s="217"/>
    </row>
    <row r="10" spans="1:9" collapsed="1">
      <c r="B10" s="8" t="s">
        <v>5</v>
      </c>
      <c r="C10" s="45"/>
      <c r="D10" s="217" t="s">
        <v>237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94</v>
      </c>
      <c r="E12" s="216"/>
      <c r="I12" s="14"/>
    </row>
    <row r="13" spans="1:9" ht="10.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7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1233444.6897056643</v>
      </c>
      <c r="D16" s="273"/>
      <c r="E16" s="263">
        <v>1020640.8197056643</v>
      </c>
      <c r="F16" s="264"/>
      <c r="G16" s="263">
        <v>212803.87000000002</v>
      </c>
      <c r="H16" s="265"/>
      <c r="I16" s="14"/>
    </row>
    <row r="17" spans="2:15">
      <c r="B17" s="89" t="s">
        <v>15</v>
      </c>
      <c r="C17" s="235">
        <v>1174751.7100000002</v>
      </c>
      <c r="D17" s="236"/>
      <c r="E17" s="235">
        <v>975964.25000000012</v>
      </c>
      <c r="F17" s="236"/>
      <c r="G17" s="235">
        <v>198787.46</v>
      </c>
      <c r="H17" s="237"/>
      <c r="I17" s="14"/>
    </row>
    <row r="18" spans="2:15" ht="16.5" thickBot="1">
      <c r="B18" s="90" t="s">
        <v>176</v>
      </c>
      <c r="C18" s="235">
        <v>1261974.3441383936</v>
      </c>
      <c r="D18" s="236"/>
      <c r="E18" s="260">
        <v>1023827.3441383938</v>
      </c>
      <c r="F18" s="261"/>
      <c r="G18" s="260">
        <v>238147</v>
      </c>
      <c r="H18" s="262"/>
      <c r="I18" s="14"/>
    </row>
    <row r="19" spans="2:15" ht="29.25" customHeight="1" thickBot="1">
      <c r="B19" s="92" t="s">
        <v>274</v>
      </c>
      <c r="C19" s="249">
        <f>E19+G19</f>
        <v>-87222.634138393652</v>
      </c>
      <c r="D19" s="250"/>
      <c r="E19" s="251">
        <f>E17-E18</f>
        <v>-47863.094138393644</v>
      </c>
      <c r="F19" s="252"/>
      <c r="G19" s="251">
        <f>G17-G18</f>
        <v>-39359.540000000008</v>
      </c>
      <c r="H19" s="253"/>
      <c r="I19" s="14"/>
    </row>
    <row r="20" spans="2:15" ht="12.75" customHeight="1">
      <c r="B20" s="11"/>
      <c r="C20" s="61"/>
      <c r="D20" s="87"/>
      <c r="E20" s="216"/>
      <c r="F20" s="78"/>
      <c r="I20" s="14"/>
    </row>
    <row r="21" spans="2:15" ht="16.5" customHeight="1" thickBot="1">
      <c r="B21" s="254" t="s">
        <v>302</v>
      </c>
      <c r="C21" s="254"/>
      <c r="D21" s="254"/>
      <c r="E21" s="254"/>
      <c r="F21" s="254"/>
      <c r="G21" s="254"/>
      <c r="H21" s="254"/>
      <c r="L21" s="14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4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134099.09</v>
      </c>
      <c r="N23" s="204">
        <f>M23</f>
        <v>134099.09</v>
      </c>
    </row>
    <row r="24" spans="2:15" ht="56.25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25736.188989898987</v>
      </c>
      <c r="G24" s="21">
        <f>$N$23/$N$24*E24</f>
        <v>25736.188989898987</v>
      </c>
      <c r="H24" s="22">
        <f>F24-G24</f>
        <v>0</v>
      </c>
      <c r="I24" s="57"/>
      <c r="J24" s="24"/>
      <c r="K24" s="24"/>
      <c r="L24" s="25"/>
      <c r="M24" s="205">
        <f>E33-E31</f>
        <v>17.82</v>
      </c>
      <c r="N24" s="205">
        <f>E33-E31</f>
        <v>17.82</v>
      </c>
      <c r="O24" s="24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28595.765544332207</v>
      </c>
      <c r="G25" s="4">
        <f>$N$23/$N$24*E25</f>
        <v>28595.765544332207</v>
      </c>
      <c r="H25" s="22">
        <f t="shared" ref="H25:H30" si="0">F25-G25</f>
        <v>0</v>
      </c>
      <c r="I25" s="58"/>
      <c r="J25" s="2"/>
      <c r="K25" s="2"/>
      <c r="L25" s="2"/>
      <c r="M25" s="186"/>
      <c r="N25" s="186"/>
      <c r="O25" s="2"/>
    </row>
    <row r="26" spans="2:15" ht="56.2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2633.8205106621767</v>
      </c>
      <c r="G26" s="4">
        <f t="shared" ref="G26:G29" si="2">$N$23/$N$24*E26</f>
        <v>2633.8205106621767</v>
      </c>
      <c r="H26" s="22">
        <f t="shared" si="0"/>
        <v>0</v>
      </c>
      <c r="I26" s="41"/>
      <c r="L26" s="14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ref="F27" si="3">$M$23/$M$24*E27</f>
        <v>4816.1289337822664</v>
      </c>
      <c r="G27" s="4">
        <f t="shared" ref="G27" si="4">$N$23/$N$24*E27</f>
        <v>4816.1289337822664</v>
      </c>
      <c r="H27" s="22">
        <f t="shared" si="0"/>
        <v>0</v>
      </c>
      <c r="I27" s="41"/>
      <c r="L27" s="14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si="1"/>
        <v>11438.306217732883</v>
      </c>
      <c r="G28" s="4">
        <f t="shared" si="2"/>
        <v>11438.306217732883</v>
      </c>
      <c r="H28" s="22">
        <f t="shared" si="0"/>
        <v>0</v>
      </c>
      <c r="I28" s="41"/>
    </row>
    <row r="29" spans="2:15" ht="211.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1"/>
        <v>53955.694461279454</v>
      </c>
      <c r="G29" s="4">
        <f t="shared" si="2"/>
        <v>53955.694461279454</v>
      </c>
      <c r="H29" s="22">
        <f t="shared" si="0"/>
        <v>0</v>
      </c>
      <c r="I29" s="58"/>
      <c r="J29" s="2"/>
      <c r="K29" s="2"/>
      <c r="L29" s="1"/>
      <c r="M29" s="186"/>
      <c r="N29" s="186"/>
    </row>
    <row r="30" spans="2:15" ht="102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1"/>
        <v>2257.5604377104373</v>
      </c>
      <c r="G30" s="4">
        <f t="shared" ref="G30" si="5">$N$23/$N$24*E30</f>
        <v>2257.5604377104373</v>
      </c>
      <c r="H30" s="22">
        <f t="shared" si="0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36497.230000000003</v>
      </c>
      <c r="G31" s="4"/>
      <c r="H31" s="22">
        <f>F31-G31</f>
        <v>36497.230000000003</v>
      </c>
      <c r="I31" s="41"/>
      <c r="L31" s="14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0.62</v>
      </c>
      <c r="F32" s="20">
        <f t="shared" si="1"/>
        <v>4665.624904601571</v>
      </c>
      <c r="G32" s="4">
        <f t="shared" ref="G32" si="6">$N$23/$N$24*E32</f>
        <v>4665.624904601571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22.669999999999998</v>
      </c>
      <c r="F33" s="53">
        <f>SUM(F24:F32)</f>
        <v>170596.31999999998</v>
      </c>
      <c r="G33" s="54">
        <f>SUM(G24:G32)</f>
        <v>134099.08999999997</v>
      </c>
      <c r="H33" s="35">
        <f>SUM(H24:H32)</f>
        <v>36497.230000000003</v>
      </c>
      <c r="I33" s="41"/>
    </row>
    <row r="34" spans="2:15">
      <c r="B34" s="14"/>
      <c r="C34" s="14"/>
      <c r="D34" s="14"/>
      <c r="E34" s="82"/>
      <c r="F34" s="78"/>
      <c r="G34" s="82"/>
      <c r="O34" s="78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40"/>
      <c r="M36" s="187"/>
      <c r="N36" s="187"/>
    </row>
    <row r="37" spans="2:15">
      <c r="B37" s="88" t="s">
        <v>14</v>
      </c>
      <c r="C37" s="238">
        <f>E37+G37</f>
        <v>1404041.0097056644</v>
      </c>
      <c r="D37" s="239"/>
      <c r="E37" s="263">
        <f>F24+F25+F26+F27+F28+F29+F30+F32+E16</f>
        <v>1154739.9097056643</v>
      </c>
      <c r="F37" s="264"/>
      <c r="G37" s="263">
        <f>F31+G16</f>
        <v>249301.10000000003</v>
      </c>
      <c r="H37" s="265"/>
      <c r="I37" s="73"/>
      <c r="J37" s="74"/>
      <c r="K37" s="7"/>
      <c r="L37" s="7"/>
      <c r="M37" s="188"/>
    </row>
    <row r="38" spans="2:15">
      <c r="B38" s="89" t="s">
        <v>15</v>
      </c>
      <c r="C38" s="235">
        <f>E38+G38</f>
        <v>1316374.02</v>
      </c>
      <c r="D38" s="236"/>
      <c r="E38" s="235">
        <f>E17+111323.76</f>
        <v>1087288.01</v>
      </c>
      <c r="F38" s="236"/>
      <c r="G38" s="235">
        <f>G17+30298.55</f>
        <v>229086.00999999998</v>
      </c>
      <c r="H38" s="237"/>
      <c r="I38" s="73"/>
      <c r="J38" s="74"/>
      <c r="K38" s="9"/>
      <c r="L38" s="7"/>
      <c r="M38" s="188"/>
    </row>
    <row r="39" spans="2:15" ht="16.5" thickBot="1">
      <c r="B39" s="90" t="s">
        <v>176</v>
      </c>
      <c r="C39" s="269">
        <f>E39+G39</f>
        <v>1396073.4341383937</v>
      </c>
      <c r="D39" s="270"/>
      <c r="E39" s="260">
        <f>G24+G25+G26+G27+G28+G29+G30+G32+E18</f>
        <v>1157926.4341383937</v>
      </c>
      <c r="F39" s="261"/>
      <c r="G39" s="260">
        <f>G31+G18</f>
        <v>238147</v>
      </c>
      <c r="H39" s="262"/>
      <c r="I39" s="73"/>
      <c r="J39" s="74"/>
      <c r="K39" s="41"/>
      <c r="L39" s="41"/>
    </row>
    <row r="40" spans="2:15" ht="29.25" customHeight="1" thickBot="1">
      <c r="B40" s="92" t="s">
        <v>275</v>
      </c>
      <c r="C40" s="249">
        <f>E40+G40</f>
        <v>-79699.414138393739</v>
      </c>
      <c r="D40" s="250"/>
      <c r="E40" s="251">
        <f>E38-E39</f>
        <v>-70638.424138393719</v>
      </c>
      <c r="F40" s="252"/>
      <c r="G40" s="251">
        <f>G38-G39</f>
        <v>-9060.9900000000198</v>
      </c>
      <c r="H40" s="253"/>
      <c r="I40" s="73"/>
      <c r="J40" s="74"/>
      <c r="K40" s="41"/>
      <c r="L40" s="41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2"/>
      <c r="M41" s="186"/>
      <c r="N41" s="186"/>
      <c r="O41" s="2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2"/>
      <c r="M42" s="186"/>
      <c r="N42" s="186"/>
      <c r="O42" s="2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2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9.75" customHeight="1">
      <c r="E48" s="220"/>
      <c r="F48" s="78"/>
    </row>
  </sheetData>
  <mergeCells count="54">
    <mergeCell ref="C15:D15"/>
    <mergeCell ref="C16:D16"/>
    <mergeCell ref="C17:D17"/>
    <mergeCell ref="C18:D18"/>
    <mergeCell ref="C19:D19"/>
    <mergeCell ref="C38:D38"/>
    <mergeCell ref="C39:D39"/>
    <mergeCell ref="C40:D40"/>
    <mergeCell ref="B35:H35"/>
    <mergeCell ref="E36:F36"/>
    <mergeCell ref="G36:H36"/>
    <mergeCell ref="E37:F37"/>
    <mergeCell ref="G37:H37"/>
    <mergeCell ref="C36:D36"/>
    <mergeCell ref="C37:D37"/>
    <mergeCell ref="E38:F38"/>
    <mergeCell ref="G38:H38"/>
    <mergeCell ref="G39:H39"/>
    <mergeCell ref="G40:H40"/>
    <mergeCell ref="E39:F39"/>
    <mergeCell ref="E40:F40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6:F16"/>
    <mergeCell ref="G16:H16"/>
    <mergeCell ref="E17:F17"/>
    <mergeCell ref="G17:H17"/>
    <mergeCell ref="M21:M22"/>
    <mergeCell ref="N21:N22"/>
    <mergeCell ref="E18:F18"/>
    <mergeCell ref="G18:H18"/>
    <mergeCell ref="E19:F19"/>
    <mergeCell ref="G19:H19"/>
    <mergeCell ref="C41:E41"/>
    <mergeCell ref="F41:G41"/>
    <mergeCell ref="F42:G42"/>
    <mergeCell ref="C43:E43"/>
    <mergeCell ref="F43:G43"/>
    <mergeCell ref="F44:G44"/>
    <mergeCell ref="C45:E45"/>
    <mergeCell ref="F45:G45"/>
    <mergeCell ref="C47:E47"/>
    <mergeCell ref="F47:G47"/>
  </mergeCells>
  <printOptions horizontalCentered="1"/>
  <pageMargins left="0.19685039370078741" right="0.19685039370078741" top="0.15748031496062992" bottom="0.31496062992125984" header="0.31496062992125984" footer="0.31496062992125984"/>
  <pageSetup paperSize="9" scale="5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51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7.28515625" style="3" customWidth="1"/>
    <col min="3" max="3" width="21.5703125" style="78" customWidth="1"/>
    <col min="4" max="4" width="9" style="78" customWidth="1"/>
    <col min="5" max="5" width="10.28515625" style="78" customWidth="1"/>
    <col min="6" max="6" width="9.42578125" style="3" customWidth="1"/>
    <col min="7" max="7" width="10.42578125" style="3" customWidth="1"/>
    <col min="8" max="8" width="10.5703125" style="3" customWidth="1"/>
    <col min="9" max="9" width="10.7109375" style="3" bestFit="1" customWidth="1"/>
    <col min="10" max="12" width="9.140625" style="3"/>
    <col min="13" max="13" width="12.7109375" style="185" customWidth="1"/>
    <col min="14" max="14" width="16.14062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1.75" customHeight="1">
      <c r="A3" s="56"/>
      <c r="B3" s="231"/>
      <c r="C3" s="231"/>
      <c r="D3" s="231"/>
      <c r="E3" s="231"/>
      <c r="F3" s="231"/>
      <c r="G3" s="231"/>
      <c r="H3" s="231"/>
    </row>
    <row r="4" spans="1:9" ht="15" customHeight="1"/>
    <row r="5" spans="1:9">
      <c r="B5" s="8" t="s">
        <v>0</v>
      </c>
      <c r="C5" s="45"/>
      <c r="D5" s="233" t="s">
        <v>95</v>
      </c>
      <c r="E5" s="233"/>
    </row>
    <row r="6" spans="1:9">
      <c r="B6" s="8" t="s">
        <v>1</v>
      </c>
      <c r="C6" s="45"/>
      <c r="D6" s="217">
        <v>1960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16</v>
      </c>
      <c r="E8" s="217"/>
    </row>
    <row r="9" spans="1:9" ht="30.75" hidden="1" customHeight="1" outlineLevel="1">
      <c r="B9" s="111" t="s">
        <v>4</v>
      </c>
      <c r="C9" s="122"/>
      <c r="D9" s="217" t="s">
        <v>96</v>
      </c>
      <c r="E9" s="217"/>
    </row>
    <row r="10" spans="1:9" collapsed="1">
      <c r="B10" s="8" t="s">
        <v>5</v>
      </c>
      <c r="C10" s="45"/>
      <c r="D10" s="217" t="s">
        <v>238</v>
      </c>
      <c r="E10" s="217"/>
      <c r="I10" s="14"/>
    </row>
    <row r="11" spans="1:9" ht="15.75" hidden="1" customHeight="1" outlineLevel="1">
      <c r="B11" s="3" t="s">
        <v>6</v>
      </c>
      <c r="D11" s="216" t="s">
        <v>12</v>
      </c>
      <c r="E11" s="216"/>
    </row>
    <row r="12" spans="1:9" ht="19.5" hidden="1" customHeight="1" outlineLevel="1">
      <c r="B12" s="11" t="s">
        <v>7</v>
      </c>
      <c r="C12" s="76"/>
      <c r="D12" s="87" t="s">
        <v>97</v>
      </c>
      <c r="E12" s="216"/>
      <c r="I12" s="14"/>
    </row>
    <row r="13" spans="1:9" ht="9.7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39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1373659.4302359214</v>
      </c>
      <c r="D16" s="273"/>
      <c r="E16" s="263">
        <v>1218534.6002359213</v>
      </c>
      <c r="F16" s="264"/>
      <c r="G16" s="263">
        <v>155124.83000000002</v>
      </c>
      <c r="H16" s="265"/>
      <c r="I16" s="14"/>
    </row>
    <row r="17" spans="2:15">
      <c r="B17" s="89" t="s">
        <v>15</v>
      </c>
      <c r="C17" s="235">
        <v>1306312.6999999997</v>
      </c>
      <c r="D17" s="236"/>
      <c r="E17" s="235">
        <v>1164301.7599999998</v>
      </c>
      <c r="F17" s="236"/>
      <c r="G17" s="235">
        <v>142010.94</v>
      </c>
      <c r="H17" s="237"/>
      <c r="I17" s="14"/>
    </row>
    <row r="18" spans="2:15">
      <c r="B18" s="90" t="s">
        <v>176</v>
      </c>
      <c r="C18" s="235">
        <v>1389480.7220368534</v>
      </c>
      <c r="D18" s="236"/>
      <c r="E18" s="260">
        <v>1208261.7220368534</v>
      </c>
      <c r="F18" s="261"/>
      <c r="G18" s="260">
        <v>181219</v>
      </c>
      <c r="H18" s="262"/>
      <c r="I18" s="14"/>
    </row>
    <row r="19" spans="2:15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5" ht="31.5" customHeight="1" thickBot="1">
      <c r="B20" s="92" t="s">
        <v>274</v>
      </c>
      <c r="C20" s="249">
        <f>E20+G20</f>
        <v>-50768.022036853654</v>
      </c>
      <c r="D20" s="250"/>
      <c r="E20" s="251">
        <f>E17+E19-E18</f>
        <v>-11559.962036853656</v>
      </c>
      <c r="F20" s="252"/>
      <c r="G20" s="251">
        <f>G17-G18</f>
        <v>-39208.06</v>
      </c>
      <c r="H20" s="253"/>
      <c r="I20" s="14"/>
    </row>
    <row r="21" spans="2:15" ht="19.5" customHeight="1">
      <c r="B21" s="11"/>
      <c r="C21" s="61"/>
      <c r="D21" s="87"/>
      <c r="E21" s="216"/>
      <c r="F21" s="78"/>
      <c r="H21" s="78"/>
      <c r="I21" s="14"/>
    </row>
    <row r="22" spans="2:15" ht="17.25" customHeight="1" thickBot="1">
      <c r="B22" s="254" t="s">
        <v>302</v>
      </c>
      <c r="C22" s="254"/>
      <c r="D22" s="254"/>
      <c r="E22" s="254"/>
      <c r="F22" s="254"/>
      <c r="G22" s="254"/>
      <c r="H22" s="254"/>
      <c r="L22" s="14"/>
      <c r="M22" s="241" t="s">
        <v>278</v>
      </c>
      <c r="N22" s="241" t="s">
        <v>279</v>
      </c>
    </row>
    <row r="23" spans="2:15" ht="32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L23" s="14"/>
      <c r="M23" s="242"/>
      <c r="N23" s="242"/>
    </row>
    <row r="24" spans="2:15" ht="53.2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M24" s="204">
        <v>135998.60999999999</v>
      </c>
      <c r="N24" s="204">
        <f>M24</f>
        <v>135998.60999999999</v>
      </c>
    </row>
    <row r="25" spans="2:15" ht="56.25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25416.133672131149</v>
      </c>
      <c r="G25" s="21">
        <f>$N$24/$N$25*E25</f>
        <v>25416.133672131149</v>
      </c>
      <c r="H25" s="22">
        <f>F25-G25</f>
        <v>0</v>
      </c>
      <c r="I25" s="57"/>
      <c r="J25" s="24"/>
      <c r="K25" s="24"/>
      <c r="L25" s="25"/>
      <c r="M25" s="205">
        <f>E34-E32</f>
        <v>18.299999999999997</v>
      </c>
      <c r="N25" s="205">
        <f>E34-E32</f>
        <v>18.299999999999997</v>
      </c>
      <c r="O25" s="24"/>
    </row>
    <row r="26" spans="2:15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28240.148524590164</v>
      </c>
      <c r="G26" s="4">
        <f>$N$24/$N$25*E26</f>
        <v>28240.148524590164</v>
      </c>
      <c r="H26" s="22">
        <f t="shared" ref="H26:H31" si="0">F26-G26</f>
        <v>0</v>
      </c>
      <c r="I26" s="58"/>
      <c r="J26" s="2"/>
      <c r="K26" s="2"/>
      <c r="L26" s="2"/>
      <c r="M26" s="186"/>
      <c r="N26" s="186"/>
      <c r="O26" s="2"/>
    </row>
    <row r="27" spans="2:15" ht="56.25">
      <c r="B27" s="27" t="s">
        <v>171</v>
      </c>
      <c r="C27" s="6" t="s">
        <v>205</v>
      </c>
      <c r="D27" s="19" t="s">
        <v>188</v>
      </c>
      <c r="E27" s="94">
        <v>0.35</v>
      </c>
      <c r="F27" s="20">
        <f t="shared" ref="F27:F33" si="1">$M$24/$M$25*E27</f>
        <v>2601.0663114754097</v>
      </c>
      <c r="G27" s="4">
        <f t="shared" ref="G27:G30" si="2">$N$24/$N$25*E27</f>
        <v>2601.0663114754097</v>
      </c>
      <c r="H27" s="22">
        <f t="shared" si="0"/>
        <v>0</v>
      </c>
      <c r="I27" s="41"/>
      <c r="L27" s="14"/>
    </row>
    <row r="28" spans="2:15" ht="25.5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ref="F28" si="3">$M$24/$M$25*E28</f>
        <v>4756.2355409836073</v>
      </c>
      <c r="G28" s="4">
        <f t="shared" ref="G28" si="4">$N$24/$N$25*E28</f>
        <v>4756.2355409836073</v>
      </c>
      <c r="H28" s="22">
        <f t="shared" si="0"/>
        <v>0</v>
      </c>
      <c r="I28" s="41"/>
      <c r="L28" s="14"/>
    </row>
    <row r="29" spans="2:15" ht="51">
      <c r="B29" s="26" t="s">
        <v>179</v>
      </c>
      <c r="C29" s="29" t="s">
        <v>211</v>
      </c>
      <c r="D29" s="19" t="s">
        <v>188</v>
      </c>
      <c r="E29" s="94">
        <v>1.52</v>
      </c>
      <c r="F29" s="20">
        <f t="shared" si="1"/>
        <v>11296.059409836067</v>
      </c>
      <c r="G29" s="4">
        <f t="shared" si="2"/>
        <v>11296.059409836067</v>
      </c>
      <c r="H29" s="22">
        <f t="shared" si="0"/>
        <v>0</v>
      </c>
      <c r="I29" s="41"/>
    </row>
    <row r="30" spans="2:15" ht="221.25" customHeight="1">
      <c r="B30" s="26" t="s">
        <v>204</v>
      </c>
      <c r="C30" s="29" t="s">
        <v>191</v>
      </c>
      <c r="D30" s="19" t="s">
        <v>188</v>
      </c>
      <c r="E30" s="94">
        <v>7.17</v>
      </c>
      <c r="F30" s="20">
        <f t="shared" si="1"/>
        <v>53284.70129508197</v>
      </c>
      <c r="G30" s="4">
        <f t="shared" si="2"/>
        <v>53284.70129508197</v>
      </c>
      <c r="H30" s="22">
        <f t="shared" si="0"/>
        <v>0</v>
      </c>
      <c r="I30" s="58"/>
      <c r="J30" s="2"/>
      <c r="K30" s="2"/>
      <c r="L30" s="1"/>
      <c r="M30" s="186"/>
      <c r="N30" s="186"/>
    </row>
    <row r="31" spans="2:15" ht="121.5" customHeight="1">
      <c r="B31" s="26" t="s">
        <v>192</v>
      </c>
      <c r="C31" s="6" t="s">
        <v>205</v>
      </c>
      <c r="D31" s="19" t="s">
        <v>188</v>
      </c>
      <c r="E31" s="94">
        <v>0.3</v>
      </c>
      <c r="F31" s="20">
        <f t="shared" si="1"/>
        <v>2229.4854098360656</v>
      </c>
      <c r="G31" s="4">
        <f t="shared" ref="G31" si="5">$N$24/$N$25*E31</f>
        <v>2229.4854098360656</v>
      </c>
      <c r="H31" s="22">
        <f t="shared" si="0"/>
        <v>0</v>
      </c>
      <c r="I31" s="41"/>
    </row>
    <row r="32" spans="2:15" ht="56.25">
      <c r="B32" s="27" t="s">
        <v>193</v>
      </c>
      <c r="C32" s="6" t="s">
        <v>205</v>
      </c>
      <c r="D32" s="19" t="s">
        <v>188</v>
      </c>
      <c r="E32" s="94">
        <v>4.8499999999999996</v>
      </c>
      <c r="F32" s="20">
        <v>36043.35</v>
      </c>
      <c r="G32" s="4">
        <v>1257</v>
      </c>
      <c r="H32" s="22">
        <f>F32-G32</f>
        <v>34786.35</v>
      </c>
      <c r="I32" s="41"/>
      <c r="L32" s="14"/>
    </row>
    <row r="33" spans="2:15" ht="16.5" thickBot="1">
      <c r="B33" s="48" t="s">
        <v>173</v>
      </c>
      <c r="C33" s="49" t="s">
        <v>191</v>
      </c>
      <c r="D33" s="50" t="s">
        <v>188</v>
      </c>
      <c r="E33" s="98">
        <v>1.1000000000000001</v>
      </c>
      <c r="F33" s="20">
        <f t="shared" si="1"/>
        <v>8174.7798360655752</v>
      </c>
      <c r="G33" s="4">
        <f t="shared" ref="G33" si="6">$N$24/$N$25*E33</f>
        <v>8174.7798360655752</v>
      </c>
      <c r="H33" s="30">
        <f>F33-G33</f>
        <v>0</v>
      </c>
      <c r="I33" s="41"/>
    </row>
    <row r="34" spans="2:15" ht="16.5" thickBot="1">
      <c r="B34" s="51" t="s">
        <v>177</v>
      </c>
      <c r="C34" s="52"/>
      <c r="D34" s="52"/>
      <c r="E34" s="96">
        <f>SUM(E25:E33)</f>
        <v>23.15</v>
      </c>
      <c r="F34" s="53">
        <f>SUM(F25:F33)</f>
        <v>172041.96</v>
      </c>
      <c r="G34" s="54">
        <f>SUM(G25:G33)</f>
        <v>137255.61000000002</v>
      </c>
      <c r="H34" s="35">
        <f>SUM(H25:H33)</f>
        <v>34786.35</v>
      </c>
      <c r="I34" s="41"/>
    </row>
    <row r="35" spans="2:15">
      <c r="B35" s="14"/>
      <c r="C35" s="14"/>
      <c r="D35" s="14"/>
      <c r="E35" s="82"/>
      <c r="F35" s="78"/>
      <c r="G35" s="82"/>
      <c r="H35" s="78"/>
      <c r="O35" s="78"/>
    </row>
    <row r="36" spans="2:15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70"/>
      <c r="J36" s="70"/>
    </row>
    <row r="37" spans="2:15" ht="39.7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71"/>
      <c r="J37" s="72"/>
      <c r="K37" s="39"/>
      <c r="L37" s="40"/>
      <c r="M37" s="187"/>
      <c r="N37" s="187"/>
    </row>
    <row r="38" spans="2:15">
      <c r="B38" s="88" t="s">
        <v>14</v>
      </c>
      <c r="C38" s="238">
        <f>E38+G38</f>
        <v>1545701.3902359214</v>
      </c>
      <c r="D38" s="239"/>
      <c r="E38" s="263">
        <f>F25+F26+F27+F28+F29+F30+F31+F33+E16</f>
        <v>1354533.2102359214</v>
      </c>
      <c r="F38" s="264"/>
      <c r="G38" s="263">
        <f>F32+G16</f>
        <v>191168.18000000002</v>
      </c>
      <c r="H38" s="265"/>
      <c r="I38" s="73"/>
      <c r="J38" s="74"/>
      <c r="K38" s="7"/>
      <c r="L38" s="7"/>
      <c r="M38" s="188"/>
    </row>
    <row r="39" spans="2:15">
      <c r="B39" s="89" t="s">
        <v>15</v>
      </c>
      <c r="C39" s="235">
        <f>E39+G39</f>
        <v>1521461.9699999997</v>
      </c>
      <c r="D39" s="236"/>
      <c r="E39" s="235">
        <f>E17+170074.8</f>
        <v>1334376.5599999998</v>
      </c>
      <c r="F39" s="236"/>
      <c r="G39" s="235">
        <f>G17+45074.47</f>
        <v>187085.41</v>
      </c>
      <c r="H39" s="237"/>
      <c r="I39" s="73"/>
      <c r="J39" s="74"/>
      <c r="K39" s="9"/>
      <c r="L39" s="7"/>
      <c r="M39" s="188"/>
    </row>
    <row r="40" spans="2:15">
      <c r="B40" s="90" t="s">
        <v>176</v>
      </c>
      <c r="C40" s="235">
        <f>E40+G40</f>
        <v>1526736.3320368535</v>
      </c>
      <c r="D40" s="236"/>
      <c r="E40" s="260">
        <f>G25+G26+G27+G28+G29+G30+G31+G33+E18</f>
        <v>1344260.3320368535</v>
      </c>
      <c r="F40" s="261"/>
      <c r="G40" s="260">
        <f>G32+G18</f>
        <v>182476</v>
      </c>
      <c r="H40" s="262"/>
      <c r="I40" s="73"/>
      <c r="J40" s="74"/>
      <c r="K40" s="41"/>
      <c r="L40" s="41"/>
    </row>
    <row r="41" spans="2:15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73"/>
      <c r="J41" s="74"/>
      <c r="K41" s="41"/>
      <c r="L41" s="41"/>
    </row>
    <row r="42" spans="2:15" ht="29.25" customHeight="1" thickBot="1">
      <c r="B42" s="92" t="s">
        <v>275</v>
      </c>
      <c r="C42" s="249">
        <f>E42+G42</f>
        <v>30725.637963146291</v>
      </c>
      <c r="D42" s="250"/>
      <c r="E42" s="251">
        <f>E39+E41-E40</f>
        <v>26116.227963146288</v>
      </c>
      <c r="F42" s="252"/>
      <c r="G42" s="251">
        <f>G39-G40</f>
        <v>4609.4100000000035</v>
      </c>
      <c r="H42" s="253"/>
      <c r="I42" s="73"/>
      <c r="J42" s="74"/>
      <c r="K42" s="41"/>
      <c r="L42" s="41"/>
    </row>
    <row r="43" spans="2:15" ht="27.7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75"/>
      <c r="I43" s="75"/>
      <c r="J43" s="2"/>
      <c r="K43" s="2"/>
      <c r="L43" s="2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59"/>
      <c r="G44" s="259"/>
      <c r="H44" s="75"/>
      <c r="I44" s="75"/>
      <c r="J44" s="2"/>
      <c r="K44" s="2"/>
      <c r="L44" s="2"/>
      <c r="M44" s="186"/>
      <c r="N44" s="186"/>
      <c r="O44" s="2"/>
    </row>
    <row r="45" spans="2:15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75"/>
      <c r="I45" s="75"/>
      <c r="J45" s="2"/>
      <c r="K45" s="2"/>
      <c r="L45" s="2"/>
      <c r="M45" s="186"/>
      <c r="N45" s="186"/>
      <c r="O45" s="2"/>
    </row>
    <row r="46" spans="2:15" ht="9.75" customHeight="1">
      <c r="B46" s="219"/>
      <c r="C46" s="219"/>
      <c r="D46" s="219"/>
      <c r="E46" s="220"/>
      <c r="F46" s="267"/>
      <c r="G46" s="267"/>
      <c r="H46" s="75"/>
      <c r="I46" s="75"/>
    </row>
    <row r="47" spans="2:15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0.5" customHeight="1">
      <c r="B48" s="42"/>
      <c r="C48" s="42"/>
      <c r="D48" s="42"/>
      <c r="E48" s="220"/>
      <c r="F48" s="43"/>
      <c r="G48" s="44"/>
      <c r="H48" s="45"/>
      <c r="I48" s="8"/>
    </row>
    <row r="49" spans="2:9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75"/>
      <c r="I49" s="75"/>
    </row>
    <row r="50" spans="2:9" ht="10.5" customHeight="1">
      <c r="E50" s="220"/>
      <c r="F50" s="78"/>
      <c r="H50" s="78"/>
    </row>
    <row r="51" spans="2:9">
      <c r="H51" s="78"/>
    </row>
  </sheetData>
  <mergeCells count="60">
    <mergeCell ref="C40:D40"/>
    <mergeCell ref="C19:D19"/>
    <mergeCell ref="C20:D20"/>
    <mergeCell ref="C38:D38"/>
    <mergeCell ref="C37:D37"/>
    <mergeCell ref="C39:D39"/>
    <mergeCell ref="F49:G49"/>
    <mergeCell ref="F47:G47"/>
    <mergeCell ref="F45:G45"/>
    <mergeCell ref="F46:G46"/>
    <mergeCell ref="F44:G44"/>
    <mergeCell ref="G42:H42"/>
    <mergeCell ref="F43:G43"/>
    <mergeCell ref="E42:F42"/>
    <mergeCell ref="E41:F41"/>
    <mergeCell ref="G41:H41"/>
    <mergeCell ref="C43:E43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E16:F16"/>
    <mergeCell ref="G16:H16"/>
    <mergeCell ref="E17:F17"/>
    <mergeCell ref="G17:H17"/>
    <mergeCell ref="D5:E5"/>
    <mergeCell ref="N22:N23"/>
    <mergeCell ref="E20:F20"/>
    <mergeCell ref="G20:H20"/>
    <mergeCell ref="M22:M23"/>
    <mergeCell ref="B14:H14"/>
    <mergeCell ref="E15:F15"/>
    <mergeCell ref="G15:H15"/>
    <mergeCell ref="E18:F18"/>
    <mergeCell ref="G18:H18"/>
    <mergeCell ref="C15:D15"/>
    <mergeCell ref="C16:D16"/>
    <mergeCell ref="C17:D17"/>
    <mergeCell ref="C18:D18"/>
    <mergeCell ref="C45:E45"/>
    <mergeCell ref="C47:E47"/>
    <mergeCell ref="C49:E49"/>
    <mergeCell ref="E19:F19"/>
    <mergeCell ref="G19:H19"/>
    <mergeCell ref="E39:F39"/>
    <mergeCell ref="G39:H39"/>
    <mergeCell ref="B36:H36"/>
    <mergeCell ref="E37:F37"/>
    <mergeCell ref="G37:H37"/>
    <mergeCell ref="E38:F38"/>
    <mergeCell ref="G38:H38"/>
    <mergeCell ref="C41:D41"/>
    <mergeCell ref="C42:D42"/>
    <mergeCell ref="E40:F40"/>
    <mergeCell ref="G40:H4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9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5.7109375" style="3" customWidth="1"/>
    <col min="3" max="3" width="22.42578125" style="78" customWidth="1"/>
    <col min="4" max="4" width="9.5703125" style="78" customWidth="1"/>
    <col min="5" max="5" width="10.28515625" style="78" customWidth="1"/>
    <col min="6" max="6" width="9.85546875" style="3" customWidth="1"/>
    <col min="7" max="8" width="10.42578125" style="3" customWidth="1"/>
    <col min="9" max="9" width="10.7109375" style="3" bestFit="1" customWidth="1"/>
    <col min="10" max="12" width="9.140625" style="3"/>
    <col min="13" max="13" width="14.5703125" style="185" customWidth="1"/>
    <col min="14" max="14" width="13.2851562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6.25" customHeight="1">
      <c r="A3" s="56"/>
      <c r="B3" s="231"/>
      <c r="C3" s="231"/>
      <c r="D3" s="231"/>
      <c r="E3" s="231"/>
      <c r="F3" s="231"/>
      <c r="G3" s="231"/>
      <c r="H3" s="231"/>
    </row>
    <row r="4" spans="1:9" ht="15" customHeight="1"/>
    <row r="5" spans="1:9">
      <c r="B5" s="8" t="s">
        <v>0</v>
      </c>
      <c r="C5" s="45"/>
      <c r="D5" s="233" t="s">
        <v>98</v>
      </c>
      <c r="E5" s="233"/>
    </row>
    <row r="6" spans="1:9">
      <c r="B6" s="8" t="s">
        <v>1</v>
      </c>
      <c r="C6" s="45"/>
      <c r="D6" s="217">
        <v>1960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8</v>
      </c>
      <c r="E8" s="217"/>
    </row>
    <row r="9" spans="1:9" ht="30.75" hidden="1" customHeight="1" outlineLevel="1">
      <c r="B9" s="111" t="s">
        <v>4</v>
      </c>
      <c r="C9" s="122"/>
      <c r="D9" s="217" t="s">
        <v>99</v>
      </c>
      <c r="E9" s="217"/>
    </row>
    <row r="10" spans="1:9" collapsed="1">
      <c r="B10" s="8" t="s">
        <v>5</v>
      </c>
      <c r="C10" s="45"/>
      <c r="D10" s="217" t="s">
        <v>239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100</v>
      </c>
      <c r="E12" s="216"/>
      <c r="I12" s="14"/>
    </row>
    <row r="13" spans="1:9" ht="12" customHeight="1" collapsed="1">
      <c r="B13" s="11"/>
      <c r="C13" s="76"/>
      <c r="D13" s="87"/>
      <c r="E13" s="216"/>
      <c r="I13" s="14"/>
    </row>
    <row r="14" spans="1:9" ht="16.5" customHeight="1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841828.917376442</v>
      </c>
      <c r="D16" s="273"/>
      <c r="E16" s="263">
        <v>602086.07737644203</v>
      </c>
      <c r="F16" s="264"/>
      <c r="G16" s="263">
        <v>239742.84</v>
      </c>
      <c r="H16" s="265"/>
      <c r="I16" s="14"/>
    </row>
    <row r="17" spans="2:15">
      <c r="B17" s="89" t="s">
        <v>15</v>
      </c>
      <c r="C17" s="235">
        <v>847028.61</v>
      </c>
      <c r="D17" s="236"/>
      <c r="E17" s="235">
        <v>609120.41999999993</v>
      </c>
      <c r="F17" s="236"/>
      <c r="G17" s="235">
        <v>237908.19000000003</v>
      </c>
      <c r="H17" s="237"/>
      <c r="I17" s="14"/>
    </row>
    <row r="18" spans="2:15" ht="16.5" thickBot="1">
      <c r="B18" s="90" t="s">
        <v>176</v>
      </c>
      <c r="C18" s="235">
        <v>868337.24201665178</v>
      </c>
      <c r="D18" s="236"/>
      <c r="E18" s="260">
        <v>611676.24201665178</v>
      </c>
      <c r="F18" s="261"/>
      <c r="G18" s="260">
        <v>256661</v>
      </c>
      <c r="H18" s="262"/>
      <c r="I18" s="14"/>
    </row>
    <row r="19" spans="2:15" ht="35.25" customHeight="1" thickBot="1">
      <c r="B19" s="92" t="s">
        <v>274</v>
      </c>
      <c r="C19" s="249">
        <f>E19+G19</f>
        <v>-21308.632016651827</v>
      </c>
      <c r="D19" s="250"/>
      <c r="E19" s="251">
        <f>E17-E18</f>
        <v>-2555.8220166518586</v>
      </c>
      <c r="F19" s="252"/>
      <c r="G19" s="251">
        <f>G17-G18</f>
        <v>-18752.809999999969</v>
      </c>
      <c r="H19" s="253"/>
      <c r="I19" s="14"/>
    </row>
    <row r="20" spans="2:15">
      <c r="B20" s="11"/>
      <c r="C20" s="76"/>
      <c r="D20" s="87"/>
      <c r="E20" s="216"/>
      <c r="I20" s="14"/>
    </row>
    <row r="21" spans="2:15" ht="21" customHeight="1" thickBot="1">
      <c r="B21" s="254" t="s">
        <v>302</v>
      </c>
      <c r="C21" s="254"/>
      <c r="D21" s="254"/>
      <c r="E21" s="254"/>
      <c r="F21" s="254"/>
      <c r="G21" s="254"/>
      <c r="H21" s="254"/>
      <c r="L21" s="14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4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83298.11</v>
      </c>
      <c r="N23" s="204">
        <f>M23</f>
        <v>83298.11</v>
      </c>
    </row>
    <row r="24" spans="2:15" ht="56.25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15324.342990855301</v>
      </c>
      <c r="G24" s="21">
        <f>$N$23/$N$24*E24</f>
        <v>15324.342990855301</v>
      </c>
      <c r="H24" s="22">
        <f>F24-G24</f>
        <v>0</v>
      </c>
      <c r="I24" s="57"/>
      <c r="J24" s="24"/>
      <c r="K24" s="24"/>
      <c r="L24" s="25"/>
      <c r="M24" s="205">
        <f>E33-E31</f>
        <v>18.589999999999996</v>
      </c>
      <c r="N24" s="205">
        <f>E33-E31</f>
        <v>18.589999999999996</v>
      </c>
      <c r="O24" s="24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17027.047767617001</v>
      </c>
      <c r="G25" s="4">
        <f>$N$23/$N$24*E25</f>
        <v>17027.047767617001</v>
      </c>
      <c r="H25" s="22">
        <f t="shared" ref="H25:H30" si="0">F25-G25</f>
        <v>0</v>
      </c>
      <c r="I25" s="58"/>
      <c r="J25" s="2"/>
      <c r="K25" s="2"/>
      <c r="L25" s="2"/>
      <c r="M25" s="186"/>
      <c r="N25" s="186"/>
      <c r="O25" s="2"/>
    </row>
    <row r="26" spans="2:15" ht="56.2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1568.2807154384079</v>
      </c>
      <c r="G26" s="4">
        <f t="shared" ref="G26:G29" si="2">$N$23/$N$24*E26</f>
        <v>1568.2807154384079</v>
      </c>
      <c r="H26" s="22">
        <f t="shared" si="0"/>
        <v>0</v>
      </c>
      <c r="I26" s="41"/>
      <c r="L26" s="14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ref="F27" si="3">$M$23/$M$24*E27</f>
        <v>2867.7133082302316</v>
      </c>
      <c r="G27" s="4">
        <f t="shared" ref="G27" si="4">$N$23/$N$24*E27</f>
        <v>2867.7133082302316</v>
      </c>
      <c r="H27" s="22">
        <f t="shared" si="0"/>
        <v>0</v>
      </c>
      <c r="I27" s="41"/>
      <c r="L27" s="14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si="1"/>
        <v>6810.8191070468001</v>
      </c>
      <c r="G28" s="4">
        <f t="shared" si="2"/>
        <v>6810.8191070468001</v>
      </c>
      <c r="H28" s="22">
        <f t="shared" si="0"/>
        <v>0</v>
      </c>
      <c r="I28" s="41"/>
    </row>
    <row r="29" spans="2:15" ht="226.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1"/>
        <v>32127.350656266812</v>
      </c>
      <c r="G29" s="4">
        <f t="shared" si="2"/>
        <v>32127.350656266812</v>
      </c>
      <c r="H29" s="22">
        <f t="shared" si="0"/>
        <v>0</v>
      </c>
      <c r="I29" s="58"/>
      <c r="J29" s="2"/>
      <c r="K29" s="2"/>
      <c r="L29" s="1"/>
      <c r="M29" s="186"/>
      <c r="N29" s="186"/>
    </row>
    <row r="30" spans="2:15" ht="102">
      <c r="B30" s="26" t="s">
        <v>192</v>
      </c>
      <c r="C30" s="6" t="s">
        <v>205</v>
      </c>
      <c r="D30" s="19" t="s">
        <v>188</v>
      </c>
      <c r="E30" s="94">
        <v>0.4</v>
      </c>
      <c r="F30" s="20">
        <f t="shared" si="1"/>
        <v>1792.3208176438948</v>
      </c>
      <c r="G30" s="4">
        <f t="shared" ref="G30" si="5">$N$23/$N$24*E30</f>
        <v>1792.3208176438948</v>
      </c>
      <c r="H30" s="22">
        <f t="shared" si="0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21731.89</v>
      </c>
      <c r="G31" s="4">
        <v>1761</v>
      </c>
      <c r="H31" s="22">
        <f>F31-G31</f>
        <v>19970.89</v>
      </c>
      <c r="I31" s="41"/>
      <c r="L31" s="14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1.29</v>
      </c>
      <c r="F32" s="20">
        <f t="shared" si="1"/>
        <v>5780.2346369015604</v>
      </c>
      <c r="G32" s="4">
        <f t="shared" ref="G32" si="6">$N$23/$N$24*E32</f>
        <v>5780.2346369015604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23.439999999999998</v>
      </c>
      <c r="F33" s="53">
        <f>SUM(F24:F32)</f>
        <v>105030.00000000001</v>
      </c>
      <c r="G33" s="54">
        <f>SUM(G24:G32)</f>
        <v>85059.110000000015</v>
      </c>
      <c r="H33" s="35">
        <f>SUM(H24:H32)</f>
        <v>19970.89</v>
      </c>
      <c r="I33" s="41"/>
    </row>
    <row r="34" spans="2:15">
      <c r="B34" s="14"/>
      <c r="C34" s="14"/>
      <c r="D34" s="14"/>
      <c r="E34" s="82"/>
      <c r="F34" s="78"/>
      <c r="G34" s="82"/>
      <c r="H34" s="78"/>
      <c r="O34" s="78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3.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40"/>
      <c r="M36" s="187"/>
      <c r="N36" s="187"/>
    </row>
    <row r="37" spans="2:15">
      <c r="B37" s="88" t="s">
        <v>14</v>
      </c>
      <c r="C37" s="238">
        <f>E37+G37</f>
        <v>946858.917376442</v>
      </c>
      <c r="D37" s="239"/>
      <c r="E37" s="263">
        <f>F24+F25+F26+F27+F28+F29+F30+F32+E16</f>
        <v>685384.18737644202</v>
      </c>
      <c r="F37" s="264"/>
      <c r="G37" s="263">
        <f>F31+G16</f>
        <v>261474.72999999998</v>
      </c>
      <c r="H37" s="265"/>
      <c r="I37" s="73"/>
      <c r="J37" s="74"/>
      <c r="K37" s="7"/>
      <c r="L37" s="7"/>
      <c r="M37" s="188"/>
    </row>
    <row r="38" spans="2:15">
      <c r="B38" s="89" t="s">
        <v>15</v>
      </c>
      <c r="C38" s="235">
        <f>E38+G38</f>
        <v>953432.62</v>
      </c>
      <c r="D38" s="236"/>
      <c r="E38" s="235">
        <f>E17+84387.82</f>
        <v>693508.24</v>
      </c>
      <c r="F38" s="236"/>
      <c r="G38" s="235">
        <f>G17+22016.19</f>
        <v>259924.38000000003</v>
      </c>
      <c r="H38" s="237"/>
      <c r="I38" s="73"/>
      <c r="J38" s="74"/>
      <c r="K38" s="9"/>
      <c r="L38" s="7"/>
      <c r="M38" s="188"/>
    </row>
    <row r="39" spans="2:15" ht="16.5" thickBot="1">
      <c r="B39" s="90" t="s">
        <v>176</v>
      </c>
      <c r="C39" s="269">
        <f>E39+G39</f>
        <v>953396.35201665177</v>
      </c>
      <c r="D39" s="270"/>
      <c r="E39" s="260">
        <f>G24+G25+G26+G27+G28+G29+G30+G32+E18</f>
        <v>694974.35201665177</v>
      </c>
      <c r="F39" s="261"/>
      <c r="G39" s="260">
        <f>G31+G18</f>
        <v>258422</v>
      </c>
      <c r="H39" s="262"/>
      <c r="I39" s="73"/>
      <c r="J39" s="74"/>
      <c r="K39" s="41"/>
      <c r="L39" s="41"/>
    </row>
    <row r="40" spans="2:15" ht="30" customHeight="1" thickBot="1">
      <c r="B40" s="92" t="s">
        <v>275</v>
      </c>
      <c r="C40" s="249">
        <f>E40+G40</f>
        <v>36.267983348254347</v>
      </c>
      <c r="D40" s="250"/>
      <c r="E40" s="251">
        <f>E38-E39</f>
        <v>-1466.1120166517794</v>
      </c>
      <c r="F40" s="252"/>
      <c r="G40" s="251">
        <f>G38-G39</f>
        <v>1502.3800000000338</v>
      </c>
      <c r="H40" s="253"/>
      <c r="I40" s="73"/>
      <c r="J40" s="74"/>
      <c r="K40" s="41"/>
      <c r="L40" s="41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2"/>
      <c r="M41" s="186"/>
      <c r="N41" s="186"/>
      <c r="O41" s="2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2"/>
      <c r="M42" s="186"/>
      <c r="N42" s="186"/>
      <c r="O42" s="2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2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8.25" customHeight="1">
      <c r="E48" s="220"/>
      <c r="F48" s="78"/>
      <c r="H48" s="78"/>
    </row>
    <row r="49" spans="8:8">
      <c r="H49" s="78"/>
    </row>
  </sheetData>
  <mergeCells count="54">
    <mergeCell ref="C41:E41"/>
    <mergeCell ref="M21:M22"/>
    <mergeCell ref="N21:N22"/>
    <mergeCell ref="C15:D15"/>
    <mergeCell ref="C36:D36"/>
    <mergeCell ref="C37:D37"/>
    <mergeCell ref="G16:H16"/>
    <mergeCell ref="E17:F17"/>
    <mergeCell ref="G17:H17"/>
    <mergeCell ref="E15:F15"/>
    <mergeCell ref="G15:H15"/>
    <mergeCell ref="C16:D16"/>
    <mergeCell ref="C17:D17"/>
    <mergeCell ref="C18:D18"/>
    <mergeCell ref="C19:D19"/>
    <mergeCell ref="E37:F37"/>
    <mergeCell ref="C39:D39"/>
    <mergeCell ref="F45:G45"/>
    <mergeCell ref="F47:G47"/>
    <mergeCell ref="F44:G44"/>
    <mergeCell ref="E38:F38"/>
    <mergeCell ref="G38:H38"/>
    <mergeCell ref="G39:H39"/>
    <mergeCell ref="G40:H40"/>
    <mergeCell ref="E39:F39"/>
    <mergeCell ref="E40:F40"/>
    <mergeCell ref="F41:G41"/>
    <mergeCell ref="F42:G42"/>
    <mergeCell ref="C45:E45"/>
    <mergeCell ref="C47:E47"/>
    <mergeCell ref="C40:D40"/>
    <mergeCell ref="F43:G43"/>
    <mergeCell ref="G19:H19"/>
    <mergeCell ref="B35:H35"/>
    <mergeCell ref="E36:F36"/>
    <mergeCell ref="G36:H36"/>
    <mergeCell ref="C38:D38"/>
    <mergeCell ref="G37:H37"/>
    <mergeCell ref="E16:F16"/>
    <mergeCell ref="C43:E43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E18:F18"/>
    <mergeCell ref="G18:H18"/>
    <mergeCell ref="B14:H14"/>
    <mergeCell ref="E19:F19"/>
  </mergeCells>
  <printOptions horizontalCentered="1"/>
  <pageMargins left="0.19685039370078741" right="0.19685039370078741" top="0.15748031496062992" bottom="0.23622047244094491" header="0.15748031496062992" footer="0.23622047244094491"/>
  <pageSetup paperSize="9" scale="5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P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7.85546875" style="3" customWidth="1"/>
    <col min="3" max="3" width="22.5703125" style="10" customWidth="1"/>
    <col min="4" max="4" width="8.42578125" style="78" customWidth="1"/>
    <col min="5" max="5" width="10.28515625" style="78" customWidth="1"/>
    <col min="6" max="6" width="9.85546875" style="3" customWidth="1"/>
    <col min="7" max="7" width="10.28515625" style="3" customWidth="1"/>
    <col min="8" max="8" width="10.7109375" style="3" customWidth="1"/>
    <col min="9" max="9" width="10.7109375" style="3" bestFit="1" customWidth="1"/>
    <col min="10" max="11" width="9.140625" style="3"/>
    <col min="12" max="12" width="11.140625" style="125" customWidth="1"/>
    <col min="13" max="13" width="13" style="185" customWidth="1"/>
    <col min="14" max="14" width="13.5703125" style="185" customWidth="1"/>
    <col min="15" max="16" width="9.140625" style="125"/>
    <col min="17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19.5" customHeight="1">
      <c r="A3" s="56"/>
      <c r="B3" s="231"/>
      <c r="C3" s="231"/>
      <c r="D3" s="231"/>
      <c r="E3" s="231"/>
      <c r="F3" s="231"/>
      <c r="G3" s="231"/>
      <c r="H3" s="231"/>
    </row>
    <row r="4" spans="1:9" ht="12.75" customHeight="1"/>
    <row r="5" spans="1:9">
      <c r="B5" s="8" t="s">
        <v>0</v>
      </c>
      <c r="C5" s="110"/>
      <c r="D5" s="233" t="s">
        <v>101</v>
      </c>
      <c r="E5" s="233"/>
    </row>
    <row r="6" spans="1:9">
      <c r="B6" s="8" t="s">
        <v>1</v>
      </c>
      <c r="C6" s="110"/>
      <c r="D6" s="217">
        <v>1960</v>
      </c>
      <c r="E6" s="217"/>
    </row>
    <row r="7" spans="1:9" hidden="1" outlineLevel="1">
      <c r="B7" s="8" t="s">
        <v>2</v>
      </c>
      <c r="C7" s="110"/>
      <c r="D7" s="217">
        <v>2</v>
      </c>
      <c r="E7" s="217"/>
    </row>
    <row r="8" spans="1:9" hidden="1" outlineLevel="1">
      <c r="B8" s="8" t="s">
        <v>3</v>
      </c>
      <c r="C8" s="110"/>
      <c r="D8" s="217">
        <v>6</v>
      </c>
      <c r="E8" s="217"/>
    </row>
    <row r="9" spans="1:9" ht="30.75" hidden="1" customHeight="1" outlineLevel="1">
      <c r="B9" s="111" t="s">
        <v>4</v>
      </c>
      <c r="C9" s="112"/>
      <c r="D9" s="217" t="s">
        <v>102</v>
      </c>
      <c r="E9" s="217"/>
    </row>
    <row r="10" spans="1:9" collapsed="1">
      <c r="B10" s="8" t="s">
        <v>5</v>
      </c>
      <c r="C10" s="110"/>
      <c r="D10" s="217" t="s">
        <v>240</v>
      </c>
      <c r="E10" s="217"/>
      <c r="I10" s="14"/>
    </row>
    <row r="11" spans="1:9">
      <c r="B11" s="8" t="s">
        <v>6</v>
      </c>
      <c r="C11" s="110"/>
      <c r="D11" s="217" t="s">
        <v>103</v>
      </c>
      <c r="E11" s="217"/>
    </row>
    <row r="12" spans="1:9" ht="30.75" hidden="1" customHeight="1" outlineLevel="1">
      <c r="B12" s="11" t="s">
        <v>7</v>
      </c>
      <c r="C12" s="12"/>
      <c r="D12" s="87" t="s">
        <v>104</v>
      </c>
      <c r="E12" s="216"/>
      <c r="I12" s="14"/>
    </row>
    <row r="13" spans="1:9" ht="12" customHeight="1" collapsed="1">
      <c r="B13" s="11"/>
      <c r="C13" s="12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39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691091.41883020732</v>
      </c>
      <c r="D16" s="239"/>
      <c r="E16" s="238">
        <v>494787.08735751215</v>
      </c>
      <c r="F16" s="239"/>
      <c r="G16" s="238">
        <v>196304.33147269522</v>
      </c>
      <c r="H16" s="240"/>
      <c r="I16" s="14"/>
    </row>
    <row r="17" spans="2:15">
      <c r="B17" s="89" t="s">
        <v>15</v>
      </c>
      <c r="C17" s="235">
        <v>655842.99</v>
      </c>
      <c r="D17" s="236"/>
      <c r="E17" s="235">
        <v>471132.85028772755</v>
      </c>
      <c r="F17" s="236"/>
      <c r="G17" s="235">
        <v>184710.13971227244</v>
      </c>
      <c r="H17" s="237"/>
      <c r="I17" s="14"/>
    </row>
    <row r="18" spans="2:15" ht="16.5" thickBot="1">
      <c r="B18" s="90" t="s">
        <v>176</v>
      </c>
      <c r="C18" s="269">
        <v>670473.53855423117</v>
      </c>
      <c r="D18" s="270"/>
      <c r="E18" s="269">
        <v>489983.53855423117</v>
      </c>
      <c r="F18" s="270"/>
      <c r="G18" s="269">
        <v>180490</v>
      </c>
      <c r="H18" s="271"/>
      <c r="I18" s="14"/>
    </row>
    <row r="19" spans="2:15" ht="29.25" customHeight="1" thickBot="1">
      <c r="B19" s="92" t="s">
        <v>274</v>
      </c>
      <c r="C19" s="249">
        <f>E19+G19</f>
        <v>-14630.54855423118</v>
      </c>
      <c r="D19" s="250"/>
      <c r="E19" s="251">
        <f>E17-E18</f>
        <v>-18850.688266503625</v>
      </c>
      <c r="F19" s="252"/>
      <c r="G19" s="251">
        <f>G17-G18</f>
        <v>4220.1397122724447</v>
      </c>
      <c r="H19" s="253"/>
      <c r="I19" s="14"/>
    </row>
    <row r="20" spans="2:15">
      <c r="B20" s="11"/>
      <c r="C20" s="12"/>
      <c r="D20" s="87"/>
      <c r="E20" s="216"/>
      <c r="I20" s="14"/>
    </row>
    <row r="21" spans="2:15" ht="18.75" customHeight="1" thickBot="1">
      <c r="B21" s="254" t="s">
        <v>302</v>
      </c>
      <c r="C21" s="254"/>
      <c r="D21" s="254"/>
      <c r="E21" s="254"/>
      <c r="F21" s="254"/>
      <c r="G21" s="254"/>
      <c r="H21" s="254"/>
      <c r="L21" s="131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31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5">
        <v>82446.009999999995</v>
      </c>
      <c r="N23" s="205">
        <f>M23</f>
        <v>82446.009999999995</v>
      </c>
    </row>
    <row r="24" spans="2:15" ht="56.25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15332.536933115822</v>
      </c>
      <c r="G24" s="21">
        <f>$N$23/$N$24*E24</f>
        <v>15332.536933115822</v>
      </c>
      <c r="H24" s="22">
        <f>F24-G24</f>
        <v>0</v>
      </c>
      <c r="I24" s="23"/>
      <c r="J24" s="24"/>
      <c r="K24" s="24"/>
      <c r="L24" s="149"/>
      <c r="M24" s="205">
        <f>E33-E31</f>
        <v>18.39</v>
      </c>
      <c r="N24" s="205">
        <f>E33-E31</f>
        <v>18.39</v>
      </c>
      <c r="O24" s="201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 t="shared" ref="F25:F32" si="0">$M$23/$M$24*E25</f>
        <v>17036.152147906469</v>
      </c>
      <c r="G25" s="21">
        <f t="shared" ref="G25:G30" si="1">$N$23/$N$24*E25</f>
        <v>17036.152147906469</v>
      </c>
      <c r="H25" s="22">
        <f t="shared" ref="H25:H30" si="2">F25-G25</f>
        <v>0</v>
      </c>
      <c r="I25" s="58"/>
      <c r="J25" s="2"/>
      <c r="K25" s="2"/>
      <c r="L25" s="127"/>
      <c r="M25" s="188"/>
      <c r="N25" s="188"/>
      <c r="O25" s="197"/>
    </row>
    <row r="26" spans="2:15" ht="56.2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si="0"/>
        <v>1569.1192767808589</v>
      </c>
      <c r="G26" s="21">
        <f t="shared" si="1"/>
        <v>1569.1192767808589</v>
      </c>
      <c r="H26" s="22">
        <f t="shared" si="2"/>
        <v>0</v>
      </c>
      <c r="I26" s="41"/>
      <c r="L26" s="127"/>
      <c r="M26" s="193"/>
      <c r="N26" s="193"/>
      <c r="O26" s="127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si="0"/>
        <v>2869.2466775421422</v>
      </c>
      <c r="G27" s="21">
        <f t="shared" si="1"/>
        <v>2869.2466775421422</v>
      </c>
      <c r="H27" s="22">
        <f t="shared" si="2"/>
        <v>0</v>
      </c>
      <c r="I27" s="41"/>
      <c r="L27" s="197"/>
      <c r="M27" s="188"/>
      <c r="N27" s="188"/>
      <c r="O27" s="197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si="0"/>
        <v>6814.4608591625874</v>
      </c>
      <c r="G28" s="21">
        <f t="shared" si="1"/>
        <v>6814.4608591625874</v>
      </c>
      <c r="H28" s="22">
        <f t="shared" si="2"/>
        <v>0</v>
      </c>
      <c r="I28" s="41"/>
    </row>
    <row r="29" spans="2:15" ht="222.7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0"/>
        <v>32144.52918433931</v>
      </c>
      <c r="G29" s="21">
        <f t="shared" si="1"/>
        <v>32144.52918433931</v>
      </c>
      <c r="H29" s="22">
        <f t="shared" si="2"/>
        <v>0</v>
      </c>
      <c r="I29" s="58"/>
      <c r="J29" s="2"/>
      <c r="K29" s="2"/>
      <c r="L29" s="159"/>
      <c r="M29" s="186"/>
      <c r="N29" s="186"/>
    </row>
    <row r="30" spans="2:15" ht="107.25" customHeight="1">
      <c r="B30" s="26" t="s">
        <v>192</v>
      </c>
      <c r="C30" s="6" t="s">
        <v>205</v>
      </c>
      <c r="D30" s="19" t="s">
        <v>188</v>
      </c>
      <c r="E30" s="94">
        <v>0.4</v>
      </c>
      <c r="F30" s="20">
        <f t="shared" si="0"/>
        <v>1793.2791734638388</v>
      </c>
      <c r="G30" s="21">
        <f t="shared" si="1"/>
        <v>1793.2791734638388</v>
      </c>
      <c r="H30" s="22">
        <f t="shared" si="2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21743.41</v>
      </c>
      <c r="G31" s="4">
        <v>0</v>
      </c>
      <c r="H31" s="22">
        <f>F31-G31</f>
        <v>21743.41</v>
      </c>
      <c r="I31" s="41"/>
      <c r="L31" s="131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1.0900000000000001</v>
      </c>
      <c r="F32" s="20">
        <f t="shared" si="0"/>
        <v>4886.6857476889609</v>
      </c>
      <c r="G32" s="21">
        <f t="shared" ref="G32" si="3">$N$23/$N$24*E32</f>
        <v>4886.6857476889609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23.24</v>
      </c>
      <c r="F33" s="53">
        <f>SUM(F24:F32)</f>
        <v>104189.42</v>
      </c>
      <c r="G33" s="54">
        <f>SUM(G24:G32)</f>
        <v>82446.009999999995</v>
      </c>
      <c r="H33" s="35">
        <f>SUM(H24:H32)</f>
        <v>21743.41</v>
      </c>
      <c r="I33" s="41"/>
    </row>
    <row r="34" spans="2:15">
      <c r="B34" s="14"/>
      <c r="C34" s="14"/>
      <c r="D34" s="14"/>
      <c r="E34" s="82"/>
      <c r="F34" s="78"/>
      <c r="G34" s="82"/>
      <c r="H34" s="78"/>
      <c r="O34" s="132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1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176"/>
      <c r="M36" s="187"/>
      <c r="N36" s="187"/>
    </row>
    <row r="37" spans="2:15">
      <c r="B37" s="88" t="s">
        <v>14</v>
      </c>
      <c r="C37" s="238">
        <f>E37+G37</f>
        <v>795280.83883020736</v>
      </c>
      <c r="D37" s="239"/>
      <c r="E37" s="263">
        <f>F24+F25+F26+F27+F28+F29+F30+F32+E16</f>
        <v>577233.0973575121</v>
      </c>
      <c r="F37" s="264"/>
      <c r="G37" s="263">
        <f>F31+G16</f>
        <v>218047.74147269523</v>
      </c>
      <c r="H37" s="265"/>
      <c r="I37" s="73"/>
      <c r="J37" s="74"/>
      <c r="K37" s="7"/>
      <c r="L37" s="179"/>
      <c r="M37" s="188"/>
    </row>
    <row r="38" spans="2:15">
      <c r="B38" s="89" t="s">
        <v>15</v>
      </c>
      <c r="C38" s="235">
        <f>E38+G38</f>
        <v>740402.69</v>
      </c>
      <c r="D38" s="236"/>
      <c r="E38" s="235">
        <f>E17+66912.77</f>
        <v>538045.62028772756</v>
      </c>
      <c r="F38" s="236"/>
      <c r="G38" s="235">
        <f>G17+17646.93</f>
        <v>202357.06971227244</v>
      </c>
      <c r="H38" s="237"/>
      <c r="I38" s="73"/>
      <c r="J38" s="74"/>
      <c r="K38" s="9"/>
      <c r="L38" s="179"/>
      <c r="M38" s="188"/>
    </row>
    <row r="39" spans="2:15" ht="16.5" thickBot="1">
      <c r="B39" s="90" t="s">
        <v>176</v>
      </c>
      <c r="C39" s="269">
        <f>E39+G39</f>
        <v>752919.54855423118</v>
      </c>
      <c r="D39" s="270"/>
      <c r="E39" s="260">
        <f>G24+G25+G26+G27+G28+G29+G30+G32+E18</f>
        <v>572429.54855423118</v>
      </c>
      <c r="F39" s="261"/>
      <c r="G39" s="260">
        <f>G31+G18</f>
        <v>180490</v>
      </c>
      <c r="H39" s="262"/>
      <c r="I39" s="73"/>
      <c r="J39" s="74"/>
      <c r="K39" s="41"/>
      <c r="L39" s="156"/>
    </row>
    <row r="40" spans="2:15" ht="25.5" thickBot="1">
      <c r="B40" s="92" t="s">
        <v>275</v>
      </c>
      <c r="C40" s="249">
        <f>E40+G40</f>
        <v>-12516.858554231178</v>
      </c>
      <c r="D40" s="250"/>
      <c r="E40" s="251">
        <f>E38-E39</f>
        <v>-34383.928266503615</v>
      </c>
      <c r="F40" s="252"/>
      <c r="G40" s="251">
        <f>G38-G39</f>
        <v>21867.069712272438</v>
      </c>
      <c r="H40" s="253"/>
      <c r="I40" s="73"/>
      <c r="J40" s="74"/>
      <c r="K40" s="41"/>
      <c r="L40" s="156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154"/>
      <c r="M41" s="186"/>
      <c r="N41" s="186"/>
      <c r="O41" s="154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154"/>
      <c r="M42" s="186"/>
      <c r="N42" s="186"/>
      <c r="O42" s="154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154"/>
      <c r="M43" s="186"/>
      <c r="N43" s="186"/>
      <c r="O43" s="154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8.25" customHeight="1">
      <c r="E48" s="220"/>
    </row>
  </sheetData>
  <mergeCells count="54">
    <mergeCell ref="C38:D38"/>
    <mergeCell ref="E38:F38"/>
    <mergeCell ref="G38:H38"/>
    <mergeCell ref="G37:H37"/>
    <mergeCell ref="M21:M22"/>
    <mergeCell ref="E37:F37"/>
    <mergeCell ref="N21:N22"/>
    <mergeCell ref="C36:D36"/>
    <mergeCell ref="C37:D37"/>
    <mergeCell ref="C16:D16"/>
    <mergeCell ref="C17:D17"/>
    <mergeCell ref="C18:D18"/>
    <mergeCell ref="C19:D19"/>
    <mergeCell ref="B35:H35"/>
    <mergeCell ref="E36:F36"/>
    <mergeCell ref="G36:H36"/>
    <mergeCell ref="E19:F19"/>
    <mergeCell ref="G19:H19"/>
    <mergeCell ref="E17:F17"/>
    <mergeCell ref="G17:H17"/>
    <mergeCell ref="E18:F18"/>
    <mergeCell ref="G18:H18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6:F16"/>
    <mergeCell ref="G16:H16"/>
    <mergeCell ref="C15:D15"/>
    <mergeCell ref="F47:G47"/>
    <mergeCell ref="F44:G44"/>
    <mergeCell ref="F45:G45"/>
    <mergeCell ref="F43:G43"/>
    <mergeCell ref="E39:F39"/>
    <mergeCell ref="G39:H39"/>
    <mergeCell ref="G40:H40"/>
    <mergeCell ref="F41:G41"/>
    <mergeCell ref="F42:G42"/>
    <mergeCell ref="E40:F40"/>
    <mergeCell ref="C41:E41"/>
    <mergeCell ref="C43:E43"/>
    <mergeCell ref="C45:E45"/>
    <mergeCell ref="C47:E47"/>
    <mergeCell ref="C40:D40"/>
    <mergeCell ref="C39:D39"/>
  </mergeCells>
  <printOptions horizontalCentered="1"/>
  <pageMargins left="0.19685039370078741" right="0.19685039370078741" top="0.47244094488188981" bottom="0.23622047244094491" header="0.47244094488188981" footer="0.23622047244094491"/>
  <pageSetup paperSize="9" scale="5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140625" style="3" customWidth="1"/>
    <col min="3" max="3" width="21.28515625" style="78" customWidth="1"/>
    <col min="4" max="4" width="9" style="78" customWidth="1"/>
    <col min="5" max="5" width="10.28515625" style="78" customWidth="1"/>
    <col min="6" max="6" width="9.42578125" style="3" customWidth="1"/>
    <col min="7" max="7" width="10.42578125" style="3" customWidth="1"/>
    <col min="8" max="8" width="10.28515625" style="3" customWidth="1"/>
    <col min="9" max="9" width="10.7109375" style="3" bestFit="1" customWidth="1"/>
    <col min="10" max="12" width="9.140625" style="3"/>
    <col min="13" max="13" width="15.140625" style="185" customWidth="1"/>
    <col min="14" max="14" width="14.71093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2.5" customHeight="1">
      <c r="A3" s="56"/>
      <c r="B3" s="231"/>
      <c r="C3" s="231"/>
      <c r="D3" s="231"/>
      <c r="E3" s="231"/>
      <c r="F3" s="231"/>
      <c r="G3" s="231"/>
      <c r="H3" s="231"/>
    </row>
    <row r="4" spans="1:9" ht="15" customHeight="1"/>
    <row r="5" spans="1:9">
      <c r="B5" s="8" t="s">
        <v>0</v>
      </c>
      <c r="C5" s="45"/>
      <c r="D5" s="233" t="s">
        <v>105</v>
      </c>
      <c r="E5" s="233"/>
      <c r="F5" s="8"/>
    </row>
    <row r="6" spans="1:9">
      <c r="B6" s="8" t="s">
        <v>1</v>
      </c>
      <c r="C6" s="45"/>
      <c r="D6" s="217">
        <v>1959</v>
      </c>
      <c r="E6" s="217"/>
      <c r="F6" s="8"/>
    </row>
    <row r="7" spans="1:9" hidden="1" outlineLevel="1">
      <c r="B7" s="8" t="s">
        <v>2</v>
      </c>
      <c r="C7" s="45"/>
      <c r="D7" s="217">
        <v>2</v>
      </c>
      <c r="E7" s="217"/>
      <c r="F7" s="8"/>
    </row>
    <row r="8" spans="1:9" hidden="1" outlineLevel="1">
      <c r="B8" s="8" t="s">
        <v>3</v>
      </c>
      <c r="C8" s="45"/>
      <c r="D8" s="217">
        <v>16</v>
      </c>
      <c r="E8" s="217"/>
      <c r="F8" s="8"/>
    </row>
    <row r="9" spans="1:9" ht="30.75" hidden="1" customHeight="1" outlineLevel="1">
      <c r="B9" s="111" t="s">
        <v>4</v>
      </c>
      <c r="C9" s="122"/>
      <c r="D9" s="217" t="s">
        <v>106</v>
      </c>
      <c r="E9" s="217"/>
      <c r="F9" s="8"/>
    </row>
    <row r="10" spans="1:9" collapsed="1">
      <c r="B10" s="8" t="s">
        <v>5</v>
      </c>
      <c r="C10" s="45"/>
      <c r="D10" s="217" t="s">
        <v>241</v>
      </c>
      <c r="E10" s="217"/>
      <c r="F10" s="8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107</v>
      </c>
      <c r="E12" s="216"/>
      <c r="I12" s="14"/>
    </row>
    <row r="13" spans="1:9" ht="11.2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1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1444407.4599808841</v>
      </c>
      <c r="D16" s="273"/>
      <c r="E16" s="263">
        <v>1032810.7499808843</v>
      </c>
      <c r="F16" s="264"/>
      <c r="G16" s="263">
        <v>411596.70999999996</v>
      </c>
      <c r="H16" s="265"/>
      <c r="I16" s="14"/>
    </row>
    <row r="17" spans="2:15">
      <c r="B17" s="89" t="s">
        <v>15</v>
      </c>
      <c r="C17" s="235">
        <v>1344986.7000000002</v>
      </c>
      <c r="D17" s="236"/>
      <c r="E17" s="235">
        <v>973241.26</v>
      </c>
      <c r="F17" s="236"/>
      <c r="G17" s="235">
        <v>371745.44000000006</v>
      </c>
      <c r="H17" s="237"/>
      <c r="I17" s="14"/>
    </row>
    <row r="18" spans="2:15">
      <c r="B18" s="90" t="s">
        <v>176</v>
      </c>
      <c r="C18" s="235">
        <v>1577504.1982932184</v>
      </c>
      <c r="D18" s="236"/>
      <c r="E18" s="260">
        <v>1031993.1982932185</v>
      </c>
      <c r="F18" s="261"/>
      <c r="G18" s="260">
        <v>545511</v>
      </c>
      <c r="H18" s="262"/>
      <c r="I18" s="14"/>
    </row>
    <row r="19" spans="2:15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5" ht="27.75" customHeight="1" thickBot="1">
      <c r="B20" s="92" t="s">
        <v>274</v>
      </c>
      <c r="C20" s="249">
        <f>E20+G20</f>
        <v>-200117.49829321844</v>
      </c>
      <c r="D20" s="250"/>
      <c r="E20" s="251">
        <f>E17+E19-E18</f>
        <v>-26351.938293218496</v>
      </c>
      <c r="F20" s="252"/>
      <c r="G20" s="251">
        <f>G17-G18</f>
        <v>-173765.55999999994</v>
      </c>
      <c r="H20" s="253"/>
      <c r="I20" s="14"/>
    </row>
    <row r="21" spans="2:15" ht="11.25" customHeight="1">
      <c r="B21" s="79"/>
      <c r="C21" s="79"/>
      <c r="D21" s="80"/>
      <c r="E21" s="81"/>
      <c r="F21" s="81"/>
      <c r="G21" s="81"/>
      <c r="H21" s="81"/>
      <c r="I21" s="14"/>
    </row>
    <row r="22" spans="2:15" ht="17.25" customHeight="1" thickBot="1">
      <c r="B22" s="254" t="s">
        <v>302</v>
      </c>
      <c r="C22" s="254"/>
      <c r="D22" s="254"/>
      <c r="E22" s="254"/>
      <c r="F22" s="254"/>
      <c r="G22" s="254"/>
      <c r="H22" s="254"/>
      <c r="L22" s="14"/>
      <c r="M22" s="241" t="s">
        <v>278</v>
      </c>
      <c r="N22" s="241" t="s">
        <v>279</v>
      </c>
    </row>
    <row r="23" spans="2:15" ht="32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L23" s="14"/>
      <c r="M23" s="242"/>
      <c r="N23" s="242"/>
    </row>
    <row r="24" spans="2:15" ht="53.2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M24" s="204">
        <v>143440.34</v>
      </c>
      <c r="N24" s="204">
        <f>M24</f>
        <v>143440.34</v>
      </c>
    </row>
    <row r="25" spans="2:15" ht="56.25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26388.701603012378</v>
      </c>
      <c r="G25" s="21">
        <f>$N$24/$N$25*E25</f>
        <v>26388.701603012378</v>
      </c>
      <c r="H25" s="22">
        <f>F25-G25</f>
        <v>0</v>
      </c>
      <c r="I25" s="57"/>
      <c r="J25" s="24"/>
      <c r="K25" s="24"/>
      <c r="L25" s="25"/>
      <c r="M25" s="205">
        <f>E34-E32</f>
        <v>18.589999999999996</v>
      </c>
      <c r="N25" s="205">
        <f>E34-E32</f>
        <v>18.589999999999996</v>
      </c>
      <c r="O25" s="24"/>
    </row>
    <row r="26" spans="2:15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29320.779558902639</v>
      </c>
      <c r="G26" s="4">
        <f>$N$24/$N$25*E26</f>
        <v>29320.779558902639</v>
      </c>
      <c r="H26" s="22">
        <f t="shared" ref="H26:H31" si="0">F26-G26</f>
        <v>0</v>
      </c>
      <c r="I26" s="58"/>
      <c r="J26" s="2"/>
      <c r="K26" s="2"/>
      <c r="L26" s="2"/>
      <c r="M26" s="186"/>
      <c r="N26" s="186"/>
      <c r="O26" s="2"/>
    </row>
    <row r="27" spans="2:15" ht="56.25">
      <c r="B27" s="27" t="s">
        <v>171</v>
      </c>
      <c r="C27" s="6" t="s">
        <v>205</v>
      </c>
      <c r="D27" s="19" t="s">
        <v>188</v>
      </c>
      <c r="E27" s="94">
        <v>0.35</v>
      </c>
      <c r="F27" s="20">
        <f t="shared" ref="F27:F33" si="1">$M$24/$M$25*E27</f>
        <v>2700.5981172673482</v>
      </c>
      <c r="G27" s="4">
        <f t="shared" ref="G27:G30" si="2">$N$24/$N$25*E27</f>
        <v>2700.5981172673482</v>
      </c>
      <c r="H27" s="22">
        <f t="shared" si="0"/>
        <v>0</v>
      </c>
      <c r="I27" s="41"/>
      <c r="L27" s="14"/>
    </row>
    <row r="28" spans="2:15" ht="25.5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ref="F28" si="3">$M$24/$M$25*E28</f>
        <v>4938.2365572888657</v>
      </c>
      <c r="G28" s="4">
        <f t="shared" ref="G28" si="4">$N$24/$N$25*E28</f>
        <v>4938.2365572888657</v>
      </c>
      <c r="H28" s="22">
        <f t="shared" si="0"/>
        <v>0</v>
      </c>
      <c r="I28" s="41"/>
      <c r="L28" s="14"/>
    </row>
    <row r="29" spans="2:15" ht="51">
      <c r="B29" s="26" t="s">
        <v>179</v>
      </c>
      <c r="C29" s="29" t="s">
        <v>211</v>
      </c>
      <c r="D29" s="19" t="s">
        <v>188</v>
      </c>
      <c r="E29" s="94">
        <v>1.52</v>
      </c>
      <c r="F29" s="20">
        <f t="shared" si="1"/>
        <v>11728.311823561056</v>
      </c>
      <c r="G29" s="4">
        <f t="shared" si="2"/>
        <v>11728.311823561056</v>
      </c>
      <c r="H29" s="22">
        <f t="shared" si="0"/>
        <v>0</v>
      </c>
      <c r="I29" s="41"/>
    </row>
    <row r="30" spans="2:15" ht="228" customHeight="1">
      <c r="B30" s="26" t="s">
        <v>204</v>
      </c>
      <c r="C30" s="29" t="s">
        <v>191</v>
      </c>
      <c r="D30" s="19" t="s">
        <v>188</v>
      </c>
      <c r="E30" s="94">
        <v>7.17</v>
      </c>
      <c r="F30" s="20">
        <f t="shared" si="1"/>
        <v>55323.68143087683</v>
      </c>
      <c r="G30" s="4">
        <f t="shared" si="2"/>
        <v>55323.68143087683</v>
      </c>
      <c r="H30" s="22">
        <f t="shared" si="0"/>
        <v>0</v>
      </c>
      <c r="I30" s="58"/>
      <c r="J30" s="2"/>
      <c r="K30" s="2"/>
      <c r="L30" s="1"/>
      <c r="M30" s="186"/>
      <c r="N30" s="186"/>
    </row>
    <row r="31" spans="2:15" ht="107.25" customHeight="1">
      <c r="B31" s="26" t="s">
        <v>192</v>
      </c>
      <c r="C31" s="6" t="s">
        <v>205</v>
      </c>
      <c r="D31" s="19" t="s">
        <v>188</v>
      </c>
      <c r="E31" s="94">
        <v>0.4</v>
      </c>
      <c r="F31" s="20">
        <f t="shared" si="1"/>
        <v>3086.3978483055416</v>
      </c>
      <c r="G31" s="4">
        <f t="shared" ref="G31" si="5">$N$24/$N$25*E31</f>
        <v>3086.3978483055416</v>
      </c>
      <c r="H31" s="22">
        <f t="shared" si="0"/>
        <v>0</v>
      </c>
      <c r="I31" s="41"/>
    </row>
    <row r="32" spans="2:15" ht="56.25">
      <c r="B32" s="27" t="s">
        <v>193</v>
      </c>
      <c r="C32" s="6" t="s">
        <v>205</v>
      </c>
      <c r="D32" s="19" t="s">
        <v>188</v>
      </c>
      <c r="E32" s="94">
        <v>4.8499999999999996</v>
      </c>
      <c r="F32" s="20">
        <v>37422.58</v>
      </c>
      <c r="G32" s="4">
        <v>3491</v>
      </c>
      <c r="H32" s="22">
        <f>F32-G32</f>
        <v>33931.58</v>
      </c>
      <c r="I32" s="41"/>
      <c r="L32" s="14"/>
    </row>
    <row r="33" spans="2:15" ht="16.5" thickBot="1">
      <c r="B33" s="48" t="s">
        <v>173</v>
      </c>
      <c r="C33" s="49" t="s">
        <v>191</v>
      </c>
      <c r="D33" s="50" t="s">
        <v>188</v>
      </c>
      <c r="E33" s="98">
        <v>1.29</v>
      </c>
      <c r="F33" s="20">
        <f t="shared" si="1"/>
        <v>9953.6330607853706</v>
      </c>
      <c r="G33" s="4">
        <f t="shared" ref="G33" si="6">$N$24/$N$25*E33</f>
        <v>9953.6330607853706</v>
      </c>
      <c r="H33" s="30">
        <f>F33-G33</f>
        <v>0</v>
      </c>
      <c r="I33" s="41"/>
    </row>
    <row r="34" spans="2:15" ht="16.5" thickBot="1">
      <c r="B34" s="51" t="s">
        <v>177</v>
      </c>
      <c r="C34" s="52"/>
      <c r="D34" s="52"/>
      <c r="E34" s="96">
        <f>SUM(E25:E33)</f>
        <v>23.439999999999998</v>
      </c>
      <c r="F34" s="53">
        <f>SUM(F25:F33)</f>
        <v>180862.92000000004</v>
      </c>
      <c r="G34" s="54">
        <f>SUM(G25:G33)</f>
        <v>146931.34000000003</v>
      </c>
      <c r="H34" s="35">
        <f>SUM(H25:H33)</f>
        <v>33931.58</v>
      </c>
      <c r="I34" s="41"/>
    </row>
    <row r="35" spans="2:15">
      <c r="B35" s="14"/>
      <c r="C35" s="14"/>
      <c r="D35" s="14"/>
      <c r="E35" s="82"/>
      <c r="F35" s="78"/>
      <c r="G35" s="82"/>
      <c r="H35" s="78"/>
      <c r="O35" s="78"/>
    </row>
    <row r="36" spans="2:15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70"/>
      <c r="J36" s="70"/>
    </row>
    <row r="37" spans="2:15" ht="44.2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71"/>
      <c r="J37" s="72"/>
      <c r="K37" s="39"/>
      <c r="L37" s="40"/>
      <c r="M37" s="187"/>
      <c r="N37" s="187"/>
    </row>
    <row r="38" spans="2:15">
      <c r="B38" s="88" t="s">
        <v>14</v>
      </c>
      <c r="C38" s="238">
        <f>E38+G38</f>
        <v>1625270.3799808843</v>
      </c>
      <c r="D38" s="239"/>
      <c r="E38" s="263">
        <f>F25+F26+F27+F28+F29+F30+F31+F33+E16</f>
        <v>1176251.0899808842</v>
      </c>
      <c r="F38" s="264"/>
      <c r="G38" s="263">
        <f>F32+G16</f>
        <v>449019.29</v>
      </c>
      <c r="H38" s="265"/>
      <c r="I38" s="73"/>
      <c r="J38" s="74"/>
      <c r="K38" s="7"/>
      <c r="L38" s="7"/>
      <c r="M38" s="188"/>
    </row>
    <row r="39" spans="2:15">
      <c r="B39" s="89" t="s">
        <v>15</v>
      </c>
      <c r="C39" s="235">
        <f>E39+G39</f>
        <v>1500425.55</v>
      </c>
      <c r="D39" s="236"/>
      <c r="E39" s="235">
        <f>E17+123276.8</f>
        <v>1096518.06</v>
      </c>
      <c r="F39" s="236"/>
      <c r="G39" s="235">
        <f>G17+32162.05</f>
        <v>403907.49000000005</v>
      </c>
      <c r="H39" s="237"/>
      <c r="I39" s="73"/>
      <c r="J39" s="74"/>
      <c r="K39" s="9"/>
      <c r="L39" s="7"/>
      <c r="M39" s="188"/>
    </row>
    <row r="40" spans="2:15">
      <c r="B40" s="90" t="s">
        <v>176</v>
      </c>
      <c r="C40" s="235">
        <f>E40+G40</f>
        <v>1724435.5382932185</v>
      </c>
      <c r="D40" s="236"/>
      <c r="E40" s="260">
        <f>G25+G26+G27+G28+G29+G30+G31+G33+E18</f>
        <v>1175433.5382932185</v>
      </c>
      <c r="F40" s="261"/>
      <c r="G40" s="260">
        <f>G32+G18</f>
        <v>549002</v>
      </c>
      <c r="H40" s="262"/>
      <c r="I40" s="73"/>
      <c r="J40" s="74"/>
      <c r="K40" s="41"/>
      <c r="L40" s="41"/>
    </row>
    <row r="41" spans="2:15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73"/>
      <c r="J41" s="74"/>
      <c r="K41" s="41"/>
      <c r="L41" s="41"/>
    </row>
    <row r="42" spans="2:15" ht="30" customHeight="1" thickBot="1">
      <c r="B42" s="92" t="s">
        <v>275</v>
      </c>
      <c r="C42" s="249">
        <f>E42+G42</f>
        <v>-188009.98829321837</v>
      </c>
      <c r="D42" s="250"/>
      <c r="E42" s="251">
        <f>E39+E41-E40</f>
        <v>-42915.478293218417</v>
      </c>
      <c r="F42" s="252"/>
      <c r="G42" s="251">
        <f>G39-G40</f>
        <v>-145094.50999999995</v>
      </c>
      <c r="H42" s="253"/>
      <c r="I42" s="73"/>
      <c r="J42" s="74"/>
      <c r="K42" s="41"/>
      <c r="L42" s="41"/>
    </row>
    <row r="43" spans="2:15" ht="27.7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75"/>
      <c r="I43" s="75"/>
      <c r="J43" s="2"/>
      <c r="K43" s="2"/>
      <c r="L43" s="2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59"/>
      <c r="G44" s="259"/>
      <c r="H44" s="75"/>
      <c r="I44" s="75"/>
      <c r="J44" s="2"/>
      <c r="K44" s="2"/>
      <c r="L44" s="2"/>
      <c r="M44" s="186"/>
      <c r="N44" s="186"/>
      <c r="O44" s="2"/>
    </row>
    <row r="45" spans="2:15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75"/>
      <c r="I45" s="75"/>
      <c r="J45" s="2"/>
      <c r="K45" s="2"/>
      <c r="L45" s="2"/>
      <c r="M45" s="186"/>
      <c r="N45" s="186"/>
      <c r="O45" s="2"/>
    </row>
    <row r="46" spans="2:15" ht="9.75" customHeight="1">
      <c r="B46" s="219"/>
      <c r="C46" s="219"/>
      <c r="D46" s="219"/>
      <c r="E46" s="220"/>
      <c r="F46" s="267"/>
      <c r="G46" s="267"/>
      <c r="H46" s="75"/>
      <c r="I46" s="75"/>
    </row>
    <row r="47" spans="2:15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0.5" customHeight="1">
      <c r="B48" s="42"/>
      <c r="C48" s="42"/>
      <c r="D48" s="42"/>
      <c r="E48" s="220"/>
      <c r="F48" s="43"/>
      <c r="G48" s="44"/>
      <c r="H48" s="45"/>
      <c r="I48" s="8"/>
    </row>
    <row r="49" spans="2:9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75"/>
      <c r="I49" s="75"/>
    </row>
    <row r="50" spans="2:9" ht="12" customHeight="1">
      <c r="C50" s="10"/>
      <c r="E50" s="220"/>
    </row>
  </sheetData>
  <mergeCells count="60">
    <mergeCell ref="M22:M23"/>
    <mergeCell ref="N22:N23"/>
    <mergeCell ref="C37:D37"/>
    <mergeCell ref="C38:D38"/>
    <mergeCell ref="C39:D39"/>
    <mergeCell ref="B36:H36"/>
    <mergeCell ref="E37:F37"/>
    <mergeCell ref="G37:H37"/>
    <mergeCell ref="E38:F38"/>
    <mergeCell ref="G38:H38"/>
    <mergeCell ref="E39:F39"/>
    <mergeCell ref="G39:H39"/>
    <mergeCell ref="E19:F19"/>
    <mergeCell ref="G19:H19"/>
    <mergeCell ref="E20:F20"/>
    <mergeCell ref="G20:H20"/>
    <mergeCell ref="C19:D19"/>
    <mergeCell ref="C20:D20"/>
    <mergeCell ref="C16:D16"/>
    <mergeCell ref="E17:F17"/>
    <mergeCell ref="G17:H17"/>
    <mergeCell ref="E18:F18"/>
    <mergeCell ref="G18:H18"/>
    <mergeCell ref="C17:D17"/>
    <mergeCell ref="C18:D18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E16:F16"/>
    <mergeCell ref="G16:H16"/>
    <mergeCell ref="C15:D15"/>
    <mergeCell ref="C40:D40"/>
    <mergeCell ref="C41:D41"/>
    <mergeCell ref="C42:D42"/>
    <mergeCell ref="F43:G43"/>
    <mergeCell ref="F44:G44"/>
    <mergeCell ref="E40:F40"/>
    <mergeCell ref="G40:H40"/>
    <mergeCell ref="E42:F42"/>
    <mergeCell ref="G42:H42"/>
    <mergeCell ref="E41:F41"/>
    <mergeCell ref="G41:H41"/>
    <mergeCell ref="C43:E43"/>
    <mergeCell ref="C45:E45"/>
    <mergeCell ref="C47:E47"/>
    <mergeCell ref="C49:E49"/>
    <mergeCell ref="F45:G45"/>
    <mergeCell ref="F46:G46"/>
    <mergeCell ref="F47:G47"/>
    <mergeCell ref="F49:G49"/>
  </mergeCells>
  <printOptions horizontalCentered="1"/>
  <pageMargins left="0.19685039370078741" right="0.19685039370078741" top="0.15748031496062992" bottom="0.27559055118110237" header="0.6692913385826772" footer="0.23622047244094491"/>
  <pageSetup paperSize="9" scale="5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P48"/>
  <sheetViews>
    <sheetView topLeftCell="B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" style="3" customWidth="1"/>
    <col min="3" max="3" width="21.85546875" style="78" customWidth="1"/>
    <col min="4" max="4" width="8.28515625" style="78" customWidth="1"/>
    <col min="5" max="5" width="10.28515625" style="78" customWidth="1"/>
    <col min="6" max="6" width="9.85546875" style="3" customWidth="1"/>
    <col min="7" max="7" width="10.28515625" style="3" customWidth="1"/>
    <col min="8" max="8" width="10.7109375" style="3" customWidth="1"/>
    <col min="9" max="9" width="10.7109375" style="3" bestFit="1" customWidth="1"/>
    <col min="10" max="10" width="9.140625" style="3"/>
    <col min="11" max="11" width="9.140625" style="125"/>
    <col min="12" max="12" width="12" style="125" customWidth="1"/>
    <col min="13" max="14" width="13.5703125" style="185" customWidth="1"/>
    <col min="15" max="15" width="9.140625" style="125"/>
    <col min="16" max="16" width="9.140625" style="185"/>
    <col min="17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1.75" customHeight="1">
      <c r="A3" s="56"/>
      <c r="B3" s="231"/>
      <c r="C3" s="231"/>
      <c r="D3" s="231"/>
      <c r="E3" s="231"/>
      <c r="F3" s="231"/>
      <c r="G3" s="231"/>
      <c r="H3" s="231"/>
    </row>
    <row r="4" spans="1:9" ht="15" customHeight="1"/>
    <row r="5" spans="1:9">
      <c r="B5" s="8" t="s">
        <v>0</v>
      </c>
      <c r="C5" s="45"/>
      <c r="D5" s="233" t="s">
        <v>108</v>
      </c>
      <c r="E5" s="233"/>
    </row>
    <row r="6" spans="1:9">
      <c r="B6" s="8" t="s">
        <v>1</v>
      </c>
      <c r="C6" s="45"/>
      <c r="D6" s="217">
        <v>1960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15</v>
      </c>
      <c r="E8" s="217"/>
    </row>
    <row r="9" spans="1:9" ht="30.75" hidden="1" customHeight="1" outlineLevel="1">
      <c r="B9" s="111" t="s">
        <v>4</v>
      </c>
      <c r="C9" s="122"/>
      <c r="D9" s="217" t="s">
        <v>110</v>
      </c>
      <c r="E9" s="217"/>
    </row>
    <row r="10" spans="1:9" collapsed="1">
      <c r="B10" s="8" t="s">
        <v>5</v>
      </c>
      <c r="C10" s="45"/>
      <c r="D10" s="217" t="s">
        <v>242</v>
      </c>
      <c r="E10" s="217"/>
      <c r="I10" s="14"/>
    </row>
    <row r="11" spans="1:9">
      <c r="B11" s="8" t="s">
        <v>6</v>
      </c>
      <c r="C11" s="45"/>
      <c r="D11" s="217" t="s">
        <v>272</v>
      </c>
      <c r="E11" s="217"/>
    </row>
    <row r="12" spans="1:9" ht="30.75" hidden="1" customHeight="1" outlineLevel="1">
      <c r="B12" s="11" t="s">
        <v>7</v>
      </c>
      <c r="C12" s="76"/>
      <c r="D12" s="87" t="s">
        <v>109</v>
      </c>
      <c r="E12" s="216"/>
      <c r="I12" s="14"/>
    </row>
    <row r="13" spans="1:9" ht="10.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0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1336853.7314920807</v>
      </c>
      <c r="D16" s="239"/>
      <c r="E16" s="238">
        <v>973847.16590093367</v>
      </c>
      <c r="F16" s="239"/>
      <c r="G16" s="238">
        <v>363006.56559114694</v>
      </c>
      <c r="H16" s="240"/>
      <c r="I16" s="14"/>
    </row>
    <row r="17" spans="2:15">
      <c r="B17" s="89" t="s">
        <v>15</v>
      </c>
      <c r="C17" s="235">
        <v>1334071.1400000004</v>
      </c>
      <c r="D17" s="236"/>
      <c r="E17" s="235">
        <v>978204.63418753643</v>
      </c>
      <c r="F17" s="236"/>
      <c r="G17" s="235">
        <v>355866.50581246399</v>
      </c>
      <c r="H17" s="237"/>
      <c r="I17" s="14"/>
    </row>
    <row r="18" spans="2:15" ht="16.5" thickBot="1">
      <c r="B18" s="90" t="s">
        <v>176</v>
      </c>
      <c r="C18" s="269">
        <v>1236519.0894247359</v>
      </c>
      <c r="D18" s="270"/>
      <c r="E18" s="269">
        <v>971845.08942473598</v>
      </c>
      <c r="F18" s="270"/>
      <c r="G18" s="269">
        <v>264674</v>
      </c>
      <c r="H18" s="271"/>
      <c r="I18" s="14"/>
    </row>
    <row r="19" spans="2:15" ht="33" customHeight="1" thickBot="1">
      <c r="B19" s="92" t="s">
        <v>274</v>
      </c>
      <c r="C19" s="249">
        <f>E19+G19</f>
        <v>97552.050575264439</v>
      </c>
      <c r="D19" s="250"/>
      <c r="E19" s="251">
        <f>E17-E18</f>
        <v>6359.5447628004476</v>
      </c>
      <c r="F19" s="252"/>
      <c r="G19" s="251">
        <f>G17-G18</f>
        <v>91192.505812463991</v>
      </c>
      <c r="H19" s="253"/>
      <c r="I19" s="14"/>
    </row>
    <row r="20" spans="2:15">
      <c r="B20" s="11"/>
      <c r="C20" s="76"/>
      <c r="D20" s="87"/>
      <c r="E20" s="216"/>
      <c r="I20" s="14"/>
    </row>
    <row r="21" spans="2:15" ht="18.75" customHeight="1" thickBot="1">
      <c r="B21" s="254" t="s">
        <v>302</v>
      </c>
      <c r="C21" s="254"/>
      <c r="D21" s="254"/>
      <c r="E21" s="254"/>
      <c r="F21" s="254"/>
      <c r="G21" s="254"/>
      <c r="H21" s="254"/>
      <c r="L21" s="131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31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5">
        <v>139090.38</v>
      </c>
      <c r="N23" s="205">
        <f>M23</f>
        <v>139090.38</v>
      </c>
    </row>
    <row r="24" spans="2:15" ht="56.25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25588.440000000006</v>
      </c>
      <c r="G24" s="21">
        <f>$N$23/$N$24*E24</f>
        <v>25588.440000000006</v>
      </c>
      <c r="H24" s="22">
        <f>F24-G24</f>
        <v>0</v>
      </c>
      <c r="I24" s="23"/>
      <c r="J24" s="24"/>
      <c r="K24" s="148"/>
      <c r="L24" s="149"/>
      <c r="M24" s="205">
        <f>E33-E31</f>
        <v>18.589999999999996</v>
      </c>
      <c r="N24" s="205">
        <f>E33-E31</f>
        <v>18.589999999999996</v>
      </c>
      <c r="O24" s="148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28431.600000000006</v>
      </c>
      <c r="G25" s="4">
        <f>$N$23/$N$24*E25</f>
        <v>28431.600000000006</v>
      </c>
      <c r="H25" s="22">
        <f t="shared" ref="H25:H30" si="0">F25-G25</f>
        <v>0</v>
      </c>
      <c r="I25" s="58"/>
      <c r="J25" s="2"/>
      <c r="K25" s="154"/>
      <c r="L25" s="127"/>
      <c r="M25" s="188"/>
      <c r="N25" s="188"/>
      <c r="O25" s="154"/>
    </row>
    <row r="26" spans="2:15" ht="56.2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2618.7000000000003</v>
      </c>
      <c r="G26" s="4">
        <f t="shared" ref="G26:G29" si="2">$N$23/$N$24*E26</f>
        <v>2618.7000000000003</v>
      </c>
      <c r="H26" s="22">
        <f t="shared" si="0"/>
        <v>0</v>
      </c>
      <c r="I26" s="41"/>
      <c r="L26" s="127"/>
      <c r="M26" s="193"/>
      <c r="N26" s="193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ref="F27" si="3">$M$23/$M$24*E27</f>
        <v>4788.4800000000014</v>
      </c>
      <c r="G27" s="4">
        <f t="shared" ref="G27" si="4">$N$23/$N$24*E27</f>
        <v>4788.4800000000014</v>
      </c>
      <c r="H27" s="22">
        <f t="shared" si="0"/>
        <v>0</v>
      </c>
      <c r="I27" s="41"/>
      <c r="L27" s="197"/>
      <c r="M27" s="188"/>
      <c r="N27" s="188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si="1"/>
        <v>11372.640000000003</v>
      </c>
      <c r="G28" s="4">
        <f t="shared" si="2"/>
        <v>11372.640000000003</v>
      </c>
      <c r="H28" s="22">
        <f t="shared" si="0"/>
        <v>0</v>
      </c>
      <c r="I28" s="41"/>
    </row>
    <row r="29" spans="2:15" ht="223.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1"/>
        <v>53645.94000000001</v>
      </c>
      <c r="G29" s="4">
        <f t="shared" si="2"/>
        <v>53645.94000000001</v>
      </c>
      <c r="H29" s="22">
        <f t="shared" si="0"/>
        <v>0</v>
      </c>
      <c r="I29" s="58"/>
      <c r="J29" s="2"/>
      <c r="K29" s="154"/>
      <c r="L29" s="159"/>
      <c r="M29" s="186"/>
      <c r="N29" s="186"/>
    </row>
    <row r="30" spans="2:15" ht="107.25" customHeight="1">
      <c r="B30" s="26" t="s">
        <v>192</v>
      </c>
      <c r="C30" s="6" t="s">
        <v>205</v>
      </c>
      <c r="D30" s="19" t="s">
        <v>188</v>
      </c>
      <c r="E30" s="94">
        <v>0.4</v>
      </c>
      <c r="F30" s="20">
        <f t="shared" si="1"/>
        <v>2992.8000000000011</v>
      </c>
      <c r="G30" s="4">
        <f t="shared" ref="G30" si="5">$N$23/$N$24*E30</f>
        <v>2992.8000000000011</v>
      </c>
      <c r="H30" s="22">
        <f t="shared" si="0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36287.699999999997</v>
      </c>
      <c r="G31" s="4">
        <v>10541</v>
      </c>
      <c r="H31" s="22">
        <f>F31-G31</f>
        <v>25746.699999999997</v>
      </c>
      <c r="I31" s="41"/>
      <c r="L31" s="131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1.29</v>
      </c>
      <c r="F32" s="20">
        <f t="shared" si="1"/>
        <v>9651.7800000000025</v>
      </c>
      <c r="G32" s="4">
        <f t="shared" ref="G32" si="6">$N$23/$N$24*E32</f>
        <v>9651.7800000000025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23.439999999999998</v>
      </c>
      <c r="F33" s="53">
        <f>SUM(F24:F32)</f>
        <v>175378.08000000002</v>
      </c>
      <c r="G33" s="54">
        <f>SUM(G24:G32)</f>
        <v>149631.38000000003</v>
      </c>
      <c r="H33" s="35">
        <f>SUM(H24:H32)</f>
        <v>25746.699999999997</v>
      </c>
      <c r="I33" s="59"/>
    </row>
    <row r="34" spans="2:15">
      <c r="B34" s="14"/>
      <c r="C34" s="14"/>
      <c r="D34" s="14"/>
      <c r="E34" s="82"/>
      <c r="F34" s="78"/>
      <c r="G34" s="82"/>
      <c r="H34" s="78"/>
      <c r="O34" s="132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3.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175"/>
      <c r="L36" s="176"/>
      <c r="M36" s="187"/>
      <c r="N36" s="187"/>
    </row>
    <row r="37" spans="2:15">
      <c r="B37" s="88" t="s">
        <v>14</v>
      </c>
      <c r="C37" s="238">
        <f>E37+G37</f>
        <v>1512231.8114920806</v>
      </c>
      <c r="D37" s="239"/>
      <c r="E37" s="263">
        <f>F24+F25+F26+F27+F28+F29+F30+F32+E16</f>
        <v>1112937.5459009337</v>
      </c>
      <c r="F37" s="264"/>
      <c r="G37" s="263">
        <f>F31+G16</f>
        <v>399294.26559114695</v>
      </c>
      <c r="H37" s="265"/>
      <c r="I37" s="73"/>
      <c r="J37" s="74"/>
      <c r="K37" s="179"/>
      <c r="L37" s="179"/>
      <c r="M37" s="188"/>
    </row>
    <row r="38" spans="2:15">
      <c r="B38" s="89" t="s">
        <v>15</v>
      </c>
      <c r="C38" s="235">
        <f>E38+G38</f>
        <v>1521321.4700000004</v>
      </c>
      <c r="D38" s="236"/>
      <c r="E38" s="235">
        <f>E17+148506.13</f>
        <v>1126710.7641875364</v>
      </c>
      <c r="F38" s="236"/>
      <c r="G38" s="235">
        <f>G17+38744.2</f>
        <v>394610.705812464</v>
      </c>
      <c r="H38" s="237"/>
      <c r="I38" s="73"/>
      <c r="J38" s="74"/>
      <c r="K38" s="180"/>
      <c r="L38" s="179"/>
      <c r="M38" s="188"/>
    </row>
    <row r="39" spans="2:15" ht="16.5" thickBot="1">
      <c r="B39" s="90" t="s">
        <v>176</v>
      </c>
      <c r="C39" s="269">
        <f>E39+G39</f>
        <v>1386150.469424736</v>
      </c>
      <c r="D39" s="270"/>
      <c r="E39" s="260">
        <f>G24+G25+G26+G27+G28+G29+G30+G32+E18</f>
        <v>1110935.469424736</v>
      </c>
      <c r="F39" s="261"/>
      <c r="G39" s="260">
        <f>G31+G18</f>
        <v>275215</v>
      </c>
      <c r="H39" s="262"/>
      <c r="I39" s="73"/>
      <c r="J39" s="74"/>
      <c r="K39" s="156"/>
      <c r="L39" s="156"/>
    </row>
    <row r="40" spans="2:15" ht="30.75" customHeight="1" thickBot="1">
      <c r="B40" s="92" t="s">
        <v>275</v>
      </c>
      <c r="C40" s="249">
        <f>E40+G40</f>
        <v>135171.00057526445</v>
      </c>
      <c r="D40" s="250"/>
      <c r="E40" s="251">
        <f>E38-E39</f>
        <v>15775.294762800448</v>
      </c>
      <c r="F40" s="252"/>
      <c r="G40" s="251">
        <f>G38-G39</f>
        <v>119395.705812464</v>
      </c>
      <c r="H40" s="253"/>
      <c r="I40" s="73"/>
      <c r="J40" s="74"/>
      <c r="K40" s="156"/>
      <c r="L40" s="156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154"/>
      <c r="L41" s="154"/>
      <c r="M41" s="186"/>
      <c r="N41" s="186"/>
      <c r="O41" s="154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154"/>
      <c r="L42" s="154"/>
      <c r="M42" s="186"/>
      <c r="N42" s="186"/>
      <c r="O42" s="154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154"/>
      <c r="L43" s="154"/>
      <c r="M43" s="186"/>
      <c r="N43" s="186"/>
      <c r="O43" s="154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9" customHeight="1">
      <c r="C48" s="10"/>
      <c r="E48" s="220"/>
    </row>
  </sheetData>
  <mergeCells count="54">
    <mergeCell ref="M21:M22"/>
    <mergeCell ref="N21:N22"/>
    <mergeCell ref="C36:D36"/>
    <mergeCell ref="C37:D37"/>
    <mergeCell ref="C38:D38"/>
    <mergeCell ref="B35:H35"/>
    <mergeCell ref="E36:F36"/>
    <mergeCell ref="G36:H36"/>
    <mergeCell ref="E37:F37"/>
    <mergeCell ref="G37:H37"/>
    <mergeCell ref="E38:F38"/>
    <mergeCell ref="G38:H38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6:F16"/>
    <mergeCell ref="G16:H16"/>
    <mergeCell ref="C15:D15"/>
    <mergeCell ref="E39:F39"/>
    <mergeCell ref="G39:H39"/>
    <mergeCell ref="G40:H40"/>
    <mergeCell ref="F41:G41"/>
    <mergeCell ref="C39:D39"/>
    <mergeCell ref="C40:D40"/>
    <mergeCell ref="F42:G42"/>
    <mergeCell ref="E40:F40"/>
    <mergeCell ref="F44:G44"/>
    <mergeCell ref="F47:G47"/>
    <mergeCell ref="F45:G45"/>
    <mergeCell ref="F43:G43"/>
    <mergeCell ref="C41:E41"/>
    <mergeCell ref="C43:E43"/>
    <mergeCell ref="C45:E45"/>
    <mergeCell ref="C47:E47"/>
    <mergeCell ref="C16:D16"/>
    <mergeCell ref="E19:F19"/>
    <mergeCell ref="G19:H19"/>
    <mergeCell ref="E17:F17"/>
    <mergeCell ref="G17:H17"/>
    <mergeCell ref="E18:F18"/>
    <mergeCell ref="G18:H18"/>
    <mergeCell ref="C17:D17"/>
    <mergeCell ref="C18:D18"/>
    <mergeCell ref="C19:D19"/>
  </mergeCells>
  <printOptions horizontalCentered="1"/>
  <pageMargins left="0.19685039370078741" right="0.19685039370078741" top="0.15748031496062992" bottom="0.23622047244094491" header="0.31496062992125984" footer="0.23622047244094491"/>
  <pageSetup paperSize="9" scale="5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P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8.28515625" style="3" customWidth="1"/>
    <col min="3" max="3" width="22.42578125" style="78" customWidth="1"/>
    <col min="4" max="4" width="10" style="78" customWidth="1"/>
    <col min="5" max="5" width="10.28515625" style="78" customWidth="1"/>
    <col min="6" max="6" width="9.42578125" style="3" customWidth="1"/>
    <col min="7" max="7" width="10.28515625" style="3" customWidth="1"/>
    <col min="8" max="8" width="10.5703125" style="3" customWidth="1"/>
    <col min="9" max="9" width="10.7109375" style="3" bestFit="1" customWidth="1"/>
    <col min="10" max="11" width="9.140625" style="3"/>
    <col min="12" max="12" width="11" style="125" customWidth="1"/>
    <col min="13" max="13" width="13.28515625" style="185" customWidth="1"/>
    <col min="14" max="14" width="13.85546875" style="185" customWidth="1"/>
    <col min="15" max="15" width="9.140625" style="185"/>
    <col min="16" max="16" width="9.140625" style="125"/>
    <col min="17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5.5" customHeight="1">
      <c r="A3" s="5"/>
      <c r="B3" s="231"/>
      <c r="C3" s="231"/>
      <c r="D3" s="231"/>
      <c r="E3" s="231"/>
      <c r="F3" s="231"/>
      <c r="G3" s="231"/>
      <c r="H3" s="231"/>
    </row>
    <row r="4" spans="1:9" ht="16.5" customHeight="1"/>
    <row r="5" spans="1:9">
      <c r="B5" s="8" t="s">
        <v>0</v>
      </c>
      <c r="C5" s="45"/>
      <c r="D5" s="233" t="s">
        <v>111</v>
      </c>
      <c r="E5" s="233"/>
    </row>
    <row r="6" spans="1:9">
      <c r="B6" s="8" t="s">
        <v>1</v>
      </c>
      <c r="C6" s="45"/>
      <c r="D6" s="217">
        <v>1960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12</v>
      </c>
      <c r="E8" s="217"/>
    </row>
    <row r="9" spans="1:9" ht="30.75" hidden="1" customHeight="1" outlineLevel="1">
      <c r="B9" s="111" t="s">
        <v>4</v>
      </c>
      <c r="C9" s="122"/>
      <c r="D9" s="217" t="s">
        <v>112</v>
      </c>
      <c r="E9" s="217"/>
    </row>
    <row r="10" spans="1:9" collapsed="1">
      <c r="B10" s="8" t="s">
        <v>5</v>
      </c>
      <c r="C10" s="45"/>
      <c r="D10" s="217" t="s">
        <v>243</v>
      </c>
      <c r="E10" s="217"/>
      <c r="I10" s="14"/>
    </row>
    <row r="11" spans="1:9">
      <c r="B11" s="8" t="s">
        <v>6</v>
      </c>
      <c r="C11" s="45"/>
      <c r="D11" s="217" t="s">
        <v>273</v>
      </c>
      <c r="E11" s="217"/>
    </row>
    <row r="12" spans="1:9" ht="30.75" hidden="1" customHeight="1" outlineLevel="1">
      <c r="B12" s="11" t="s">
        <v>7</v>
      </c>
      <c r="C12" s="76"/>
      <c r="D12" s="87" t="s">
        <v>113</v>
      </c>
      <c r="E12" s="216"/>
      <c r="I12" s="14"/>
    </row>
    <row r="13" spans="1:9" ht="12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2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1044636.9850637771</v>
      </c>
      <c r="D16" s="273"/>
      <c r="E16" s="263">
        <v>814090.00204779941</v>
      </c>
      <c r="F16" s="264"/>
      <c r="G16" s="263">
        <v>230546.98301597766</v>
      </c>
      <c r="H16" s="265"/>
      <c r="I16" s="14"/>
    </row>
    <row r="17" spans="2:15">
      <c r="B17" s="89" t="s">
        <v>15</v>
      </c>
      <c r="C17" s="235">
        <v>1004219.6200000001</v>
      </c>
      <c r="D17" s="236"/>
      <c r="E17" s="235">
        <v>789196.59719899273</v>
      </c>
      <c r="F17" s="236"/>
      <c r="G17" s="235">
        <v>215023.02280100735</v>
      </c>
      <c r="H17" s="237"/>
      <c r="I17" s="14"/>
    </row>
    <row r="18" spans="2:15">
      <c r="B18" s="90" t="s">
        <v>176</v>
      </c>
      <c r="C18" s="235">
        <v>1011968.4705819777</v>
      </c>
      <c r="D18" s="236"/>
      <c r="E18" s="260">
        <v>814354.47058197774</v>
      </c>
      <c r="F18" s="261"/>
      <c r="G18" s="260">
        <v>197614</v>
      </c>
      <c r="H18" s="262"/>
      <c r="I18" s="14"/>
    </row>
    <row r="19" spans="2:15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5" ht="28.5" customHeight="1" thickBot="1">
      <c r="B20" s="92" t="s">
        <v>274</v>
      </c>
      <c r="C20" s="249">
        <f>E20+G20</f>
        <v>24651.149418022338</v>
      </c>
      <c r="D20" s="250"/>
      <c r="E20" s="251">
        <f>E17+E19-E18</f>
        <v>7242.1266170149902</v>
      </c>
      <c r="F20" s="252"/>
      <c r="G20" s="251">
        <f>G17-G18</f>
        <v>17409.022801007348</v>
      </c>
      <c r="H20" s="253"/>
      <c r="I20" s="14"/>
    </row>
    <row r="21" spans="2:15" ht="11.25" customHeight="1">
      <c r="B21" s="11"/>
      <c r="C21" s="76"/>
      <c r="D21" s="87"/>
      <c r="E21" s="216"/>
      <c r="I21" s="14"/>
    </row>
    <row r="22" spans="2:15" ht="17.25" customHeight="1" thickBot="1">
      <c r="B22" s="254" t="s">
        <v>302</v>
      </c>
      <c r="C22" s="254"/>
      <c r="D22" s="254"/>
      <c r="E22" s="254"/>
      <c r="F22" s="254"/>
      <c r="G22" s="254"/>
      <c r="H22" s="254"/>
      <c r="L22" s="131"/>
      <c r="M22" s="241" t="s">
        <v>278</v>
      </c>
      <c r="N22" s="241" t="s">
        <v>279</v>
      </c>
    </row>
    <row r="23" spans="2:15" ht="32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L23" s="131"/>
      <c r="M23" s="242"/>
      <c r="N23" s="242"/>
    </row>
    <row r="24" spans="2:15" ht="53.2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M24" s="205">
        <v>130879.39</v>
      </c>
      <c r="N24" s="205">
        <f>M24</f>
        <v>130879.39</v>
      </c>
    </row>
    <row r="25" spans="2:15" ht="56.25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26376.400341779612</v>
      </c>
      <c r="G25" s="21">
        <f>$N$24/$N$25*E25</f>
        <v>26376.400341779612</v>
      </c>
      <c r="H25" s="22">
        <f>F25-G25</f>
        <v>0</v>
      </c>
      <c r="I25" s="23"/>
      <c r="J25" s="24"/>
      <c r="K25" s="24"/>
      <c r="L25" s="149"/>
      <c r="M25" s="205">
        <f>E34-E32</f>
        <v>16.97</v>
      </c>
      <c r="N25" s="205">
        <f>E34-E32</f>
        <v>16.97</v>
      </c>
      <c r="O25" s="198">
        <f>N25</f>
        <v>16.97</v>
      </c>
    </row>
    <row r="26" spans="2:15" ht="56.25">
      <c r="B26" s="26" t="s">
        <v>189</v>
      </c>
      <c r="C26" s="6" t="s">
        <v>205</v>
      </c>
      <c r="D26" s="19" t="s">
        <v>188</v>
      </c>
      <c r="E26" s="94">
        <v>0</v>
      </c>
      <c r="F26" s="20">
        <f t="shared" ref="F26:F33" si="0">$M$24/$M$25*E26</f>
        <v>0</v>
      </c>
      <c r="G26" s="21">
        <f t="shared" ref="G26:G31" si="1">$N$24/$N$25*E26</f>
        <v>0</v>
      </c>
      <c r="H26" s="22">
        <f t="shared" ref="H26:H31" si="2">F26-G26</f>
        <v>0</v>
      </c>
      <c r="I26" s="58"/>
      <c r="J26" s="2"/>
      <c r="K26" s="2"/>
      <c r="L26" s="127"/>
      <c r="M26" s="188"/>
      <c r="N26" s="188"/>
      <c r="O26" s="188"/>
    </row>
    <row r="27" spans="2:15" ht="56.25">
      <c r="B27" s="27" t="s">
        <v>171</v>
      </c>
      <c r="C27" s="6" t="s">
        <v>205</v>
      </c>
      <c r="D27" s="19" t="s">
        <v>188</v>
      </c>
      <c r="E27" s="94">
        <v>0.4</v>
      </c>
      <c r="F27" s="20">
        <f t="shared" si="0"/>
        <v>3084.9591043017094</v>
      </c>
      <c r="G27" s="21">
        <f t="shared" si="1"/>
        <v>3084.9591043017094</v>
      </c>
      <c r="H27" s="22">
        <f t="shared" si="2"/>
        <v>0</v>
      </c>
      <c r="I27" s="41"/>
      <c r="L27" s="127"/>
      <c r="M27" s="193"/>
      <c r="N27" s="193"/>
      <c r="O27" s="193"/>
    </row>
    <row r="28" spans="2:15" ht="25.5">
      <c r="B28" s="27" t="s">
        <v>172</v>
      </c>
      <c r="C28" s="28" t="s">
        <v>190</v>
      </c>
      <c r="D28" s="19" t="s">
        <v>188</v>
      </c>
      <c r="E28" s="94">
        <v>0.82</v>
      </c>
      <c r="F28" s="20">
        <f t="shared" si="0"/>
        <v>6324.1661638185033</v>
      </c>
      <c r="G28" s="21">
        <f t="shared" si="1"/>
        <v>6324.1661638185033</v>
      </c>
      <c r="H28" s="22">
        <f t="shared" si="2"/>
        <v>0</v>
      </c>
      <c r="I28" s="41"/>
      <c r="L28" s="197"/>
      <c r="M28" s="188"/>
      <c r="N28" s="188"/>
      <c r="O28" s="188"/>
    </row>
    <row r="29" spans="2:15" ht="51">
      <c r="B29" s="26" t="s">
        <v>179</v>
      </c>
      <c r="C29" s="29" t="s">
        <v>211</v>
      </c>
      <c r="D29" s="19" t="s">
        <v>188</v>
      </c>
      <c r="E29" s="94">
        <v>1.98</v>
      </c>
      <c r="F29" s="20">
        <f t="shared" si="0"/>
        <v>15270.54756629346</v>
      </c>
      <c r="G29" s="21">
        <f t="shared" si="1"/>
        <v>15270.54756629346</v>
      </c>
      <c r="H29" s="22">
        <f t="shared" si="2"/>
        <v>0</v>
      </c>
      <c r="I29" s="41"/>
    </row>
    <row r="30" spans="2:15" ht="267" customHeight="1">
      <c r="B30" s="26" t="s">
        <v>204</v>
      </c>
      <c r="C30" s="29" t="s">
        <v>191</v>
      </c>
      <c r="D30" s="19" t="s">
        <v>188</v>
      </c>
      <c r="E30" s="94">
        <v>8.34</v>
      </c>
      <c r="F30" s="20">
        <f t="shared" si="0"/>
        <v>64321.397324690632</v>
      </c>
      <c r="G30" s="21">
        <f t="shared" si="1"/>
        <v>64321.397324690632</v>
      </c>
      <c r="H30" s="22">
        <f t="shared" si="2"/>
        <v>0</v>
      </c>
      <c r="I30" s="58"/>
      <c r="J30" s="2"/>
      <c r="K30" s="2"/>
      <c r="L30" s="159"/>
      <c r="M30" s="186"/>
      <c r="N30" s="186"/>
    </row>
    <row r="31" spans="2:15" ht="107.25" customHeight="1">
      <c r="B31" s="26" t="s">
        <v>192</v>
      </c>
      <c r="C31" s="6" t="s">
        <v>205</v>
      </c>
      <c r="D31" s="19" t="s">
        <v>188</v>
      </c>
      <c r="E31" s="94">
        <v>0.82</v>
      </c>
      <c r="F31" s="20">
        <f t="shared" si="0"/>
        <v>6324.1661638185033</v>
      </c>
      <c r="G31" s="21">
        <f t="shared" si="1"/>
        <v>6324.1661638185033</v>
      </c>
      <c r="H31" s="22">
        <f t="shared" si="2"/>
        <v>0</v>
      </c>
      <c r="I31" s="41"/>
    </row>
    <row r="32" spans="2:15" ht="56.25">
      <c r="B32" s="27" t="s">
        <v>193</v>
      </c>
      <c r="C32" s="6" t="s">
        <v>205</v>
      </c>
      <c r="D32" s="19" t="s">
        <v>188</v>
      </c>
      <c r="E32" s="94">
        <v>4.8499999999999996</v>
      </c>
      <c r="F32" s="20">
        <v>37405.129999999997</v>
      </c>
      <c r="G32" s="4">
        <v>14872</v>
      </c>
      <c r="H32" s="22">
        <f>F32-G32</f>
        <v>22533.129999999997</v>
      </c>
      <c r="I32" s="41"/>
      <c r="L32" s="131"/>
    </row>
    <row r="33" spans="2:15" ht="16.5" thickBot="1">
      <c r="B33" s="48" t="s">
        <v>173</v>
      </c>
      <c r="C33" s="49" t="s">
        <v>191</v>
      </c>
      <c r="D33" s="50" t="s">
        <v>188</v>
      </c>
      <c r="E33" s="98">
        <v>1.19</v>
      </c>
      <c r="F33" s="20">
        <f t="shared" si="0"/>
        <v>9177.7533352975843</v>
      </c>
      <c r="G33" s="21">
        <f t="shared" ref="G33" si="3">$N$24/$N$25*E33</f>
        <v>9177.7533352975843</v>
      </c>
      <c r="H33" s="30">
        <f>F33-G33</f>
        <v>0</v>
      </c>
      <c r="I33" s="41"/>
    </row>
    <row r="34" spans="2:15" ht="16.5" thickBot="1">
      <c r="B34" s="51" t="s">
        <v>177</v>
      </c>
      <c r="C34" s="52"/>
      <c r="D34" s="52"/>
      <c r="E34" s="96">
        <f>SUM(E25:E33)</f>
        <v>21.82</v>
      </c>
      <c r="F34" s="53">
        <f>SUM(F25:F33)</f>
        <v>168284.52</v>
      </c>
      <c r="G34" s="54">
        <f>SUM(G25:G33)</f>
        <v>145751.38999999998</v>
      </c>
      <c r="H34" s="35">
        <f>SUM(H25:H33)</f>
        <v>22533.129999999997</v>
      </c>
      <c r="I34" s="41"/>
      <c r="J34" s="14"/>
    </row>
    <row r="35" spans="2:15">
      <c r="B35" s="14"/>
      <c r="C35" s="14"/>
      <c r="D35" s="14"/>
      <c r="E35" s="82"/>
      <c r="F35" s="78"/>
      <c r="G35" s="78"/>
      <c r="H35" s="78"/>
      <c r="O35" s="187"/>
    </row>
    <row r="36" spans="2:15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70"/>
      <c r="J36" s="70"/>
    </row>
    <row r="37" spans="2:15" ht="48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71"/>
      <c r="J37" s="72"/>
      <c r="K37" s="39"/>
      <c r="L37" s="176"/>
      <c r="M37" s="187"/>
      <c r="N37" s="187"/>
    </row>
    <row r="38" spans="2:15">
      <c r="B38" s="88" t="s">
        <v>14</v>
      </c>
      <c r="C38" s="238">
        <f>E38+G38</f>
        <v>1212921.5050637771</v>
      </c>
      <c r="D38" s="239"/>
      <c r="E38" s="263">
        <f>F25+F26+F27+F28+F29+F30+F31+F33+E16</f>
        <v>944969.39204779943</v>
      </c>
      <c r="F38" s="264"/>
      <c r="G38" s="263">
        <f>F32+G16</f>
        <v>267952.11301597767</v>
      </c>
      <c r="H38" s="265"/>
      <c r="I38" s="73"/>
      <c r="J38" s="74"/>
      <c r="K38" s="7"/>
      <c r="L38" s="179"/>
      <c r="M38" s="188"/>
    </row>
    <row r="39" spans="2:15">
      <c r="B39" s="89" t="s">
        <v>15</v>
      </c>
      <c r="C39" s="235">
        <f>E39+G39</f>
        <v>1183317.21</v>
      </c>
      <c r="D39" s="236"/>
      <c r="E39" s="235">
        <f>E17+139289.01</f>
        <v>928485.60719899274</v>
      </c>
      <c r="F39" s="236"/>
      <c r="G39" s="235">
        <f>G17+39808.58</f>
        <v>254831.60280100734</v>
      </c>
      <c r="H39" s="237"/>
      <c r="I39" s="73"/>
      <c r="J39" s="74"/>
      <c r="K39" s="9"/>
      <c r="L39" s="179"/>
      <c r="M39" s="188"/>
    </row>
    <row r="40" spans="2:15">
      <c r="B40" s="90" t="s">
        <v>176</v>
      </c>
      <c r="C40" s="235">
        <f>E40+G40</f>
        <v>1157719.8605819778</v>
      </c>
      <c r="D40" s="236"/>
      <c r="E40" s="260">
        <f>G25+G26+G27+G28+G29+G30+G31+G33+E18</f>
        <v>945233.86058197776</v>
      </c>
      <c r="F40" s="261"/>
      <c r="G40" s="260">
        <f>G32+G18</f>
        <v>212486</v>
      </c>
      <c r="H40" s="262"/>
      <c r="I40" s="73"/>
      <c r="J40" s="74"/>
      <c r="K40" s="41"/>
      <c r="L40" s="156"/>
    </row>
    <row r="41" spans="2:15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73"/>
      <c r="J41" s="74"/>
      <c r="K41" s="41"/>
      <c r="L41" s="156"/>
    </row>
    <row r="42" spans="2:15" ht="25.5" thickBot="1">
      <c r="B42" s="92" t="s">
        <v>275</v>
      </c>
      <c r="C42" s="249">
        <f>E42+G42</f>
        <v>61597.349418022321</v>
      </c>
      <c r="D42" s="250"/>
      <c r="E42" s="251">
        <f>E39+E41-E40</f>
        <v>19251.746617014986</v>
      </c>
      <c r="F42" s="252"/>
      <c r="G42" s="251">
        <f>G39-G40</f>
        <v>42345.602801007335</v>
      </c>
      <c r="H42" s="253"/>
      <c r="I42" s="73"/>
      <c r="J42" s="74"/>
      <c r="K42" s="41"/>
      <c r="L42" s="156"/>
    </row>
    <row r="43" spans="2:15" ht="27.7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75"/>
      <c r="I43" s="75"/>
      <c r="J43" s="2"/>
      <c r="K43" s="2"/>
      <c r="L43" s="154"/>
      <c r="M43" s="186"/>
      <c r="N43" s="186"/>
      <c r="O43" s="186"/>
    </row>
    <row r="44" spans="2:15" ht="9.75" customHeight="1">
      <c r="B44" s="219"/>
      <c r="C44" s="219"/>
      <c r="D44" s="219"/>
      <c r="E44" s="220"/>
      <c r="F44" s="259"/>
      <c r="G44" s="259"/>
      <c r="H44" s="75"/>
      <c r="I44" s="75"/>
      <c r="J44" s="2"/>
      <c r="K44" s="2"/>
      <c r="L44" s="154"/>
      <c r="M44" s="186"/>
      <c r="N44" s="186"/>
      <c r="O44" s="186"/>
    </row>
    <row r="45" spans="2:15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75"/>
      <c r="I45" s="75"/>
      <c r="J45" s="2"/>
      <c r="K45" s="2"/>
      <c r="L45" s="154"/>
      <c r="M45" s="186"/>
      <c r="N45" s="186"/>
      <c r="O45" s="186"/>
    </row>
    <row r="46" spans="2:15" ht="9.75" customHeight="1">
      <c r="B46" s="219"/>
      <c r="C46" s="219"/>
      <c r="D46" s="219"/>
      <c r="E46" s="220"/>
      <c r="F46" s="267"/>
      <c r="G46" s="267"/>
      <c r="H46" s="75"/>
      <c r="I46" s="75"/>
    </row>
    <row r="47" spans="2:15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0.5" customHeight="1">
      <c r="B48" s="42"/>
      <c r="C48" s="42"/>
      <c r="D48" s="42"/>
      <c r="E48" s="220"/>
      <c r="F48" s="43"/>
      <c r="G48" s="44"/>
      <c r="H48" s="45"/>
      <c r="I48" s="8"/>
    </row>
    <row r="49" spans="2:9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75"/>
      <c r="I49" s="75"/>
    </row>
    <row r="50" spans="2:9" ht="10.5" customHeight="1">
      <c r="C50" s="10"/>
      <c r="E50" s="220"/>
    </row>
  </sheetData>
  <mergeCells count="60">
    <mergeCell ref="C40:D40"/>
    <mergeCell ref="C41:D41"/>
    <mergeCell ref="C42:D42"/>
    <mergeCell ref="M22:M23"/>
    <mergeCell ref="N22:N23"/>
    <mergeCell ref="C37:D37"/>
    <mergeCell ref="C38:D38"/>
    <mergeCell ref="C39:D39"/>
    <mergeCell ref="E41:F41"/>
    <mergeCell ref="G41:H41"/>
    <mergeCell ref="E40:F40"/>
    <mergeCell ref="G40:H40"/>
    <mergeCell ref="B36:H36"/>
    <mergeCell ref="E37:F37"/>
    <mergeCell ref="G37:H37"/>
    <mergeCell ref="E38:F38"/>
    <mergeCell ref="C15:D15"/>
    <mergeCell ref="C16:D16"/>
    <mergeCell ref="C17:D17"/>
    <mergeCell ref="C18:D18"/>
    <mergeCell ref="C19:D19"/>
    <mergeCell ref="E19:F19"/>
    <mergeCell ref="G19:H19"/>
    <mergeCell ref="E20:F20"/>
    <mergeCell ref="G20:H20"/>
    <mergeCell ref="C20:D20"/>
    <mergeCell ref="E18:F18"/>
    <mergeCell ref="G18:H18"/>
    <mergeCell ref="E15:F15"/>
    <mergeCell ref="G15:H15"/>
    <mergeCell ref="E16:F16"/>
    <mergeCell ref="G16:H16"/>
    <mergeCell ref="F49:G49"/>
    <mergeCell ref="F45:G45"/>
    <mergeCell ref="F46:G46"/>
    <mergeCell ref="E42:F42"/>
    <mergeCell ref="G42:H42"/>
    <mergeCell ref="F43:G43"/>
    <mergeCell ref="F44:G44"/>
    <mergeCell ref="F47:G47"/>
    <mergeCell ref="C43:E43"/>
    <mergeCell ref="C45:E45"/>
    <mergeCell ref="C47:E47"/>
    <mergeCell ref="C49:E49"/>
    <mergeCell ref="G38:H38"/>
    <mergeCell ref="E39:F39"/>
    <mergeCell ref="G39:H39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7:F17"/>
    <mergeCell ref="G17:H17"/>
  </mergeCells>
  <printOptions horizontalCentered="1"/>
  <pageMargins left="0.19685039370078741" right="0.19685039370078741" top="0.15748031496062992" bottom="0.23622047244094491" header="0.15748031496062992" footer="0.23622047244094491"/>
  <pageSetup paperSize="9" scale="4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8" style="3" customWidth="1"/>
    <col min="3" max="3" width="22" style="78" customWidth="1"/>
    <col min="4" max="4" width="9.140625" style="78" customWidth="1"/>
    <col min="5" max="5" width="10.28515625" style="78" customWidth="1"/>
    <col min="6" max="6" width="10.140625" style="3" customWidth="1"/>
    <col min="7" max="7" width="10.42578125" style="3" customWidth="1"/>
    <col min="8" max="8" width="10.5703125" style="3" customWidth="1"/>
    <col min="9" max="9" width="10.7109375" style="3" bestFit="1" customWidth="1"/>
    <col min="10" max="11" width="9.140625" style="3"/>
    <col min="12" max="12" width="9.140625" style="125"/>
    <col min="13" max="13" width="13.42578125" style="185" customWidth="1"/>
    <col min="14" max="14" width="15.28515625" style="185" customWidth="1"/>
    <col min="15" max="15" width="9.140625" style="125"/>
    <col min="16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0.25" customHeight="1">
      <c r="A3" s="5"/>
      <c r="B3" s="231"/>
      <c r="C3" s="231"/>
      <c r="D3" s="231"/>
      <c r="E3" s="231"/>
      <c r="F3" s="231"/>
      <c r="G3" s="231"/>
      <c r="H3" s="231"/>
    </row>
    <row r="4" spans="1:9" ht="18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114</v>
      </c>
      <c r="E5" s="233"/>
    </row>
    <row r="6" spans="1:9">
      <c r="B6" s="8" t="s">
        <v>1</v>
      </c>
      <c r="C6" s="45"/>
      <c r="D6" s="217">
        <v>1961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15</v>
      </c>
      <c r="E8" s="217"/>
    </row>
    <row r="9" spans="1:9" ht="30.75" hidden="1" customHeight="1" outlineLevel="1">
      <c r="B9" s="111" t="s">
        <v>4</v>
      </c>
      <c r="C9" s="122"/>
      <c r="D9" s="217" t="s">
        <v>115</v>
      </c>
      <c r="E9" s="217"/>
    </row>
    <row r="10" spans="1:9" collapsed="1">
      <c r="B10" s="8" t="s">
        <v>5</v>
      </c>
      <c r="C10" s="45"/>
      <c r="D10" s="217" t="s">
        <v>244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116</v>
      </c>
      <c r="E12" s="216"/>
      <c r="I12" s="14"/>
    </row>
    <row r="13" spans="1:9" ht="7.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9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1204128.8857831669</v>
      </c>
      <c r="D16" s="273"/>
      <c r="E16" s="263">
        <v>906404.68578316679</v>
      </c>
      <c r="F16" s="264"/>
      <c r="G16" s="263">
        <v>297724.2</v>
      </c>
      <c r="H16" s="265"/>
      <c r="I16" s="14"/>
    </row>
    <row r="17" spans="2:15">
      <c r="B17" s="89" t="s">
        <v>15</v>
      </c>
      <c r="C17" s="235">
        <v>1200368.95</v>
      </c>
      <c r="D17" s="236"/>
      <c r="E17" s="235">
        <v>907790.48</v>
      </c>
      <c r="F17" s="236"/>
      <c r="G17" s="235">
        <v>292578.46999999997</v>
      </c>
      <c r="H17" s="237"/>
      <c r="I17" s="14"/>
    </row>
    <row r="18" spans="2:15">
      <c r="B18" s="90" t="s">
        <v>176</v>
      </c>
      <c r="C18" s="235">
        <v>1201691.9761893195</v>
      </c>
      <c r="D18" s="236"/>
      <c r="E18" s="260">
        <v>916883.97618931963</v>
      </c>
      <c r="F18" s="261"/>
      <c r="G18" s="260">
        <v>284808</v>
      </c>
      <c r="H18" s="262"/>
      <c r="I18" s="14"/>
    </row>
    <row r="19" spans="2:15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5" ht="25.5" thickBot="1">
      <c r="B20" s="92" t="s">
        <v>274</v>
      </c>
      <c r="C20" s="249">
        <f>E20+G20</f>
        <v>31076.973810680327</v>
      </c>
      <c r="D20" s="250"/>
      <c r="E20" s="251">
        <f>E17+E19-E18</f>
        <v>23306.503810680355</v>
      </c>
      <c r="F20" s="252"/>
      <c r="G20" s="251">
        <f>G17-G18</f>
        <v>7770.4699999999721</v>
      </c>
      <c r="H20" s="253"/>
      <c r="I20" s="14"/>
    </row>
    <row r="21" spans="2:15">
      <c r="B21" s="79"/>
      <c r="C21" s="79"/>
      <c r="D21" s="80"/>
      <c r="E21" s="81"/>
      <c r="F21" s="81"/>
      <c r="G21" s="81"/>
      <c r="H21" s="81"/>
      <c r="I21" s="14"/>
    </row>
    <row r="22" spans="2:15" ht="15" customHeight="1" thickBot="1">
      <c r="B22" s="254" t="s">
        <v>302</v>
      </c>
      <c r="C22" s="254"/>
      <c r="D22" s="254"/>
      <c r="E22" s="254"/>
      <c r="F22" s="254"/>
      <c r="G22" s="254"/>
      <c r="H22" s="254"/>
      <c r="L22" s="131"/>
      <c r="M22" s="241" t="s">
        <v>278</v>
      </c>
      <c r="N22" s="241" t="s">
        <v>279</v>
      </c>
    </row>
    <row r="23" spans="2:15" ht="32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L23" s="131"/>
      <c r="M23" s="242"/>
      <c r="N23" s="242"/>
    </row>
    <row r="24" spans="2:15" ht="53.2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M24" s="204">
        <v>127599.19</v>
      </c>
      <c r="N24" s="204">
        <f>M24</f>
        <v>127599.19</v>
      </c>
    </row>
    <row r="25" spans="2:15" ht="56.25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23691.054820846901</v>
      </c>
      <c r="G25" s="21">
        <f>$N$24/$N$25*E25</f>
        <v>23691.054820846901</v>
      </c>
      <c r="H25" s="22">
        <f>F25-G25</f>
        <v>0</v>
      </c>
      <c r="I25" s="57"/>
      <c r="J25" s="24"/>
      <c r="K25" s="24"/>
      <c r="L25" s="149"/>
      <c r="M25" s="205">
        <f>E34-E32</f>
        <v>18.420000000000002</v>
      </c>
      <c r="N25" s="205">
        <f>E34-E32</f>
        <v>18.420000000000002</v>
      </c>
      <c r="O25" s="148"/>
    </row>
    <row r="26" spans="2:15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26323.394245385447</v>
      </c>
      <c r="G26" s="4">
        <f>$N$24/$N$25*E26</f>
        <v>26323.394245385447</v>
      </c>
      <c r="H26" s="22">
        <f t="shared" ref="H26:H31" si="0">F26-G26</f>
        <v>0</v>
      </c>
      <c r="I26" s="58"/>
      <c r="J26" s="2"/>
      <c r="K26" s="2"/>
      <c r="L26" s="154"/>
      <c r="M26" s="186"/>
      <c r="N26" s="186"/>
      <c r="O26" s="154"/>
    </row>
    <row r="27" spans="2:15" ht="56.25">
      <c r="B27" s="27" t="s">
        <v>171</v>
      </c>
      <c r="C27" s="6" t="s">
        <v>205</v>
      </c>
      <c r="D27" s="19" t="s">
        <v>188</v>
      </c>
      <c r="E27" s="94">
        <v>0.35</v>
      </c>
      <c r="F27" s="20">
        <f t="shared" ref="F27:F33" si="1">$M$24/$M$25*E27</f>
        <v>2424.5231541802386</v>
      </c>
      <c r="G27" s="4">
        <f t="shared" ref="G27:G30" si="2">$N$24/$N$25*E27</f>
        <v>2424.5231541802386</v>
      </c>
      <c r="H27" s="22">
        <f t="shared" si="0"/>
        <v>0</v>
      </c>
      <c r="I27" s="41"/>
      <c r="L27" s="131"/>
    </row>
    <row r="28" spans="2:15" ht="25.5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ref="F28" si="3">$M$24/$M$25*E28</f>
        <v>4433.413767643865</v>
      </c>
      <c r="G28" s="4">
        <f t="shared" ref="G28" si="4">$N$24/$N$25*E28</f>
        <v>4433.413767643865</v>
      </c>
      <c r="H28" s="22">
        <f t="shared" si="0"/>
        <v>0</v>
      </c>
      <c r="I28" s="41"/>
      <c r="L28" s="131"/>
    </row>
    <row r="29" spans="2:15" ht="51">
      <c r="B29" s="26" t="s">
        <v>179</v>
      </c>
      <c r="C29" s="29" t="s">
        <v>211</v>
      </c>
      <c r="D29" s="19" t="s">
        <v>188</v>
      </c>
      <c r="E29" s="94">
        <v>1.52</v>
      </c>
      <c r="F29" s="20">
        <f t="shared" si="1"/>
        <v>10529.357698154179</v>
      </c>
      <c r="G29" s="4">
        <f t="shared" si="2"/>
        <v>10529.357698154179</v>
      </c>
      <c r="H29" s="22">
        <f t="shared" si="0"/>
        <v>0</v>
      </c>
      <c r="I29" s="41"/>
    </row>
    <row r="30" spans="2:15" ht="244.5" customHeight="1">
      <c r="B30" s="26" t="s">
        <v>204</v>
      </c>
      <c r="C30" s="29" t="s">
        <v>191</v>
      </c>
      <c r="D30" s="19" t="s">
        <v>188</v>
      </c>
      <c r="E30" s="94">
        <v>7.17</v>
      </c>
      <c r="F30" s="20">
        <f t="shared" si="1"/>
        <v>49668.08861563517</v>
      </c>
      <c r="G30" s="4">
        <f t="shared" si="2"/>
        <v>49668.08861563517</v>
      </c>
      <c r="H30" s="22">
        <f t="shared" si="0"/>
        <v>0</v>
      </c>
      <c r="I30" s="58"/>
      <c r="J30" s="2"/>
      <c r="K30" s="2"/>
      <c r="L30" s="159"/>
      <c r="M30" s="186"/>
      <c r="N30" s="186"/>
    </row>
    <row r="31" spans="2:15" ht="107.25" customHeight="1">
      <c r="B31" s="26" t="s">
        <v>192</v>
      </c>
      <c r="C31" s="6" t="s">
        <v>205</v>
      </c>
      <c r="D31" s="19" t="s">
        <v>188</v>
      </c>
      <c r="E31" s="94">
        <v>0.4</v>
      </c>
      <c r="F31" s="20">
        <f t="shared" si="1"/>
        <v>2770.8836047774157</v>
      </c>
      <c r="G31" s="4">
        <f t="shared" ref="G31" si="5">$N$24/$N$25*E31</f>
        <v>2770.8836047774157</v>
      </c>
      <c r="H31" s="22">
        <f t="shared" si="0"/>
        <v>0</v>
      </c>
      <c r="I31" s="41"/>
    </row>
    <row r="32" spans="2:15" ht="56.25">
      <c r="B32" s="27" t="s">
        <v>193</v>
      </c>
      <c r="C32" s="6" t="s">
        <v>205</v>
      </c>
      <c r="D32" s="19" t="s">
        <v>188</v>
      </c>
      <c r="E32" s="94">
        <v>4.8499999999999996</v>
      </c>
      <c r="F32" s="20">
        <v>33596.97</v>
      </c>
      <c r="G32" s="4">
        <v>1140</v>
      </c>
      <c r="H32" s="22">
        <f>F32-G32</f>
        <v>32456.97</v>
      </c>
      <c r="I32" s="41"/>
      <c r="L32" s="131"/>
    </row>
    <row r="33" spans="2:15" ht="16.5" thickBot="1">
      <c r="B33" s="48" t="s">
        <v>173</v>
      </c>
      <c r="C33" s="49" t="s">
        <v>191</v>
      </c>
      <c r="D33" s="50" t="s">
        <v>188</v>
      </c>
      <c r="E33" s="98">
        <v>1.1200000000000001</v>
      </c>
      <c r="F33" s="20">
        <f t="shared" si="1"/>
        <v>7758.4740933767644</v>
      </c>
      <c r="G33" s="4">
        <f t="shared" ref="G33" si="6">$N$24/$N$25*E33</f>
        <v>7758.4740933767644</v>
      </c>
      <c r="H33" s="30">
        <f>F33-G33</f>
        <v>0</v>
      </c>
      <c r="I33" s="41"/>
    </row>
    <row r="34" spans="2:15" ht="16.5" thickBot="1">
      <c r="B34" s="51" t="s">
        <v>177</v>
      </c>
      <c r="C34" s="52"/>
      <c r="D34" s="52"/>
      <c r="E34" s="96">
        <f>SUM(E25:E33)</f>
        <v>23.27</v>
      </c>
      <c r="F34" s="53">
        <f>SUM(F25:F33)</f>
        <v>161196.15999999997</v>
      </c>
      <c r="G34" s="54">
        <f>SUM(G25:G33)</f>
        <v>128739.18999999997</v>
      </c>
      <c r="H34" s="35">
        <f>SUM(H25:H33)</f>
        <v>32456.97</v>
      </c>
      <c r="I34" s="59"/>
    </row>
    <row r="35" spans="2:15">
      <c r="B35" s="14"/>
      <c r="C35" s="14"/>
      <c r="D35" s="14"/>
      <c r="E35" s="82"/>
      <c r="F35" s="78"/>
      <c r="G35" s="82"/>
      <c r="H35" s="78"/>
      <c r="O35" s="132"/>
    </row>
    <row r="36" spans="2:15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70"/>
      <c r="J36" s="70"/>
    </row>
    <row r="37" spans="2:15" ht="4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71"/>
      <c r="J37" s="72"/>
      <c r="K37" s="39"/>
      <c r="L37" s="176"/>
      <c r="M37" s="187"/>
      <c r="N37" s="187"/>
    </row>
    <row r="38" spans="2:15">
      <c r="B38" s="88" t="s">
        <v>14</v>
      </c>
      <c r="C38" s="238">
        <f>E38+G38</f>
        <v>1365325.0457831668</v>
      </c>
      <c r="D38" s="239"/>
      <c r="E38" s="263">
        <f>F25+F26+F27+F28+F29+F30+F31+F33+E16</f>
        <v>1034003.8757831667</v>
      </c>
      <c r="F38" s="264"/>
      <c r="G38" s="263">
        <f>F32+G16</f>
        <v>331321.17000000004</v>
      </c>
      <c r="H38" s="265"/>
      <c r="I38" s="73"/>
      <c r="J38" s="74"/>
      <c r="K38" s="7"/>
      <c r="L38" s="179"/>
      <c r="M38" s="188"/>
    </row>
    <row r="39" spans="2:15">
      <c r="B39" s="89" t="s">
        <v>15</v>
      </c>
      <c r="C39" s="235">
        <f>E39+G39</f>
        <v>1359640.64</v>
      </c>
      <c r="D39" s="236"/>
      <c r="E39" s="235">
        <f>E17+126075.83</f>
        <v>1033866.3099999999</v>
      </c>
      <c r="F39" s="236"/>
      <c r="G39" s="235">
        <f>G17+33195.86</f>
        <v>325774.32999999996</v>
      </c>
      <c r="H39" s="237"/>
      <c r="I39" s="73"/>
      <c r="J39" s="74"/>
      <c r="K39" s="9"/>
      <c r="L39" s="179"/>
      <c r="M39" s="188"/>
    </row>
    <row r="40" spans="2:15">
      <c r="B40" s="90" t="s">
        <v>176</v>
      </c>
      <c r="C40" s="235">
        <f>E40+G40</f>
        <v>1330431.1661893195</v>
      </c>
      <c r="D40" s="236"/>
      <c r="E40" s="260">
        <f>G25+G26+G27+G28+G29+G30+G31+G33+E18</f>
        <v>1044483.1661893196</v>
      </c>
      <c r="F40" s="261"/>
      <c r="G40" s="260">
        <f>G32+G18</f>
        <v>285948</v>
      </c>
      <c r="H40" s="262"/>
      <c r="I40" s="73"/>
      <c r="J40" s="74"/>
      <c r="K40" s="41"/>
      <c r="L40" s="156"/>
    </row>
    <row r="41" spans="2:15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73"/>
      <c r="J41" s="74"/>
      <c r="K41" s="41"/>
      <c r="L41" s="156"/>
    </row>
    <row r="42" spans="2:15" ht="25.5" thickBot="1">
      <c r="B42" s="92" t="s">
        <v>275</v>
      </c>
      <c r="C42" s="249">
        <f>E42+G42</f>
        <v>65209.473810680443</v>
      </c>
      <c r="D42" s="250"/>
      <c r="E42" s="251">
        <f>E39+E41-E40</f>
        <v>25383.143810680485</v>
      </c>
      <c r="F42" s="252"/>
      <c r="G42" s="251">
        <f>G39-G40</f>
        <v>39826.329999999958</v>
      </c>
      <c r="H42" s="253"/>
      <c r="I42" s="73"/>
      <c r="J42" s="74"/>
      <c r="K42" s="41"/>
      <c r="L42" s="156"/>
    </row>
    <row r="43" spans="2:15" ht="27.7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75"/>
      <c r="I43" s="75"/>
      <c r="J43" s="2"/>
      <c r="K43" s="2"/>
      <c r="L43" s="154"/>
      <c r="M43" s="186"/>
      <c r="N43" s="186"/>
      <c r="O43" s="154"/>
    </row>
    <row r="44" spans="2:15" ht="9.75" customHeight="1">
      <c r="B44" s="219"/>
      <c r="C44" s="219"/>
      <c r="D44" s="219"/>
      <c r="E44" s="220"/>
      <c r="F44" s="259"/>
      <c r="G44" s="259"/>
      <c r="H44" s="75"/>
      <c r="I44" s="75"/>
      <c r="J44" s="2"/>
      <c r="K44" s="2"/>
      <c r="L44" s="154"/>
      <c r="M44" s="186"/>
      <c r="N44" s="186"/>
      <c r="O44" s="154"/>
    </row>
    <row r="45" spans="2:15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75"/>
      <c r="I45" s="75"/>
      <c r="J45" s="2"/>
      <c r="K45" s="2"/>
      <c r="L45" s="154"/>
      <c r="M45" s="186"/>
      <c r="N45" s="186"/>
      <c r="O45" s="154"/>
    </row>
    <row r="46" spans="2:15" ht="9.75" customHeight="1">
      <c r="B46" s="219"/>
      <c r="C46" s="219"/>
      <c r="D46" s="219"/>
      <c r="E46" s="220"/>
      <c r="F46" s="267"/>
      <c r="G46" s="267"/>
      <c r="H46" s="75"/>
      <c r="I46" s="75"/>
    </row>
    <row r="47" spans="2:15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0.5" customHeight="1">
      <c r="B48" s="42"/>
      <c r="C48" s="42"/>
      <c r="D48" s="42"/>
      <c r="E48" s="220"/>
      <c r="F48" s="43"/>
      <c r="G48" s="44"/>
      <c r="H48" s="45"/>
      <c r="I48" s="8"/>
    </row>
    <row r="49" spans="2:9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75"/>
      <c r="I49" s="75"/>
    </row>
    <row r="50" spans="2:9" ht="9.75" customHeight="1">
      <c r="C50" s="10"/>
      <c r="E50" s="220"/>
    </row>
  </sheetData>
  <mergeCells count="60">
    <mergeCell ref="M22:M23"/>
    <mergeCell ref="N22:N23"/>
    <mergeCell ref="C37:D37"/>
    <mergeCell ref="C38:D38"/>
    <mergeCell ref="C39:D39"/>
    <mergeCell ref="B36:H36"/>
    <mergeCell ref="E37:F37"/>
    <mergeCell ref="G37:H37"/>
    <mergeCell ref="E38:F38"/>
    <mergeCell ref="G38:H38"/>
    <mergeCell ref="E39:F39"/>
    <mergeCell ref="G39:H39"/>
    <mergeCell ref="C15:D15"/>
    <mergeCell ref="C16:D16"/>
    <mergeCell ref="C17:D17"/>
    <mergeCell ref="C18:D18"/>
    <mergeCell ref="C19:D19"/>
    <mergeCell ref="C20:D20"/>
    <mergeCell ref="E16:F16"/>
    <mergeCell ref="G16:H16"/>
    <mergeCell ref="E17:F17"/>
    <mergeCell ref="G17:H17"/>
    <mergeCell ref="E20:F20"/>
    <mergeCell ref="G20:H20"/>
    <mergeCell ref="E18:F18"/>
    <mergeCell ref="G18:H18"/>
    <mergeCell ref="E19:F19"/>
    <mergeCell ref="G19:H19"/>
    <mergeCell ref="C41:D41"/>
    <mergeCell ref="C42:D42"/>
    <mergeCell ref="G42:H42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C45:E45"/>
    <mergeCell ref="C47:E47"/>
    <mergeCell ref="C49:E49"/>
    <mergeCell ref="E40:F40"/>
    <mergeCell ref="E42:F42"/>
    <mergeCell ref="F49:G49"/>
    <mergeCell ref="F44:G44"/>
    <mergeCell ref="F46:G46"/>
    <mergeCell ref="F47:G47"/>
    <mergeCell ref="F45:G45"/>
    <mergeCell ref="G40:H40"/>
    <mergeCell ref="F43:G43"/>
    <mergeCell ref="E41:F41"/>
    <mergeCell ref="G41:H41"/>
    <mergeCell ref="C43:E43"/>
    <mergeCell ref="C40:D40"/>
  </mergeCells>
  <printOptions horizontalCentered="1"/>
  <pageMargins left="0.19685039370078741" right="0.19685039370078741" top="0.31496062992125984" bottom="0.31496062992125984" header="0.31496062992125984" footer="0.31496062992125984"/>
  <pageSetup paperSize="9" scale="4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42578125" style="3" customWidth="1"/>
    <col min="3" max="3" width="23.5703125" style="78" customWidth="1"/>
    <col min="4" max="4" width="10.140625" style="78" customWidth="1"/>
    <col min="5" max="5" width="10.28515625" style="78" customWidth="1"/>
    <col min="6" max="6" width="10.140625" style="3" customWidth="1"/>
    <col min="7" max="7" width="10.42578125" style="3" customWidth="1"/>
    <col min="8" max="8" width="11" style="3" customWidth="1"/>
    <col min="9" max="9" width="10.7109375" style="3" bestFit="1" customWidth="1"/>
    <col min="10" max="11" width="9.140625" style="3"/>
    <col min="12" max="12" width="9.140625" style="125"/>
    <col min="13" max="13" width="14.5703125" style="185" customWidth="1"/>
    <col min="14" max="14" width="16.28515625" style="185" customWidth="1"/>
    <col min="15" max="15" width="9.140625" style="185"/>
    <col min="16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4.2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117</v>
      </c>
      <c r="E5" s="233"/>
    </row>
    <row r="6" spans="1:9">
      <c r="B6" s="8" t="s">
        <v>1</v>
      </c>
      <c r="C6" s="45"/>
      <c r="D6" s="217">
        <v>1960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7</v>
      </c>
      <c r="E8" s="217"/>
    </row>
    <row r="9" spans="1:9" ht="30.75" hidden="1" customHeight="1" outlineLevel="1">
      <c r="B9" s="111" t="s">
        <v>4</v>
      </c>
      <c r="C9" s="122"/>
      <c r="D9" s="217" t="s">
        <v>118</v>
      </c>
      <c r="E9" s="217"/>
    </row>
    <row r="10" spans="1:9" collapsed="1">
      <c r="B10" s="8" t="s">
        <v>5</v>
      </c>
      <c r="C10" s="45"/>
      <c r="D10" s="217" t="s">
        <v>245</v>
      </c>
      <c r="E10" s="217"/>
      <c r="I10" s="14"/>
    </row>
    <row r="11" spans="1:9" hidden="1" outlineLevel="1">
      <c r="B11" s="3" t="s">
        <v>6</v>
      </c>
      <c r="D11" s="216" t="s">
        <v>103</v>
      </c>
      <c r="E11" s="216"/>
    </row>
    <row r="12" spans="1:9" ht="30.75" hidden="1" customHeight="1" outlineLevel="1">
      <c r="B12" s="11" t="s">
        <v>7</v>
      </c>
      <c r="C12" s="76"/>
      <c r="D12" s="87" t="s">
        <v>121</v>
      </c>
      <c r="E12" s="216"/>
      <c r="I12" s="14"/>
    </row>
    <row r="13" spans="1:9" ht="10.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6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720825.28230157006</v>
      </c>
      <c r="D16" s="273"/>
      <c r="E16" s="263">
        <v>543555.33879075467</v>
      </c>
      <c r="F16" s="264"/>
      <c r="G16" s="263">
        <v>177269.94351081533</v>
      </c>
      <c r="H16" s="265"/>
      <c r="I16" s="14"/>
    </row>
    <row r="17" spans="2:15">
      <c r="B17" s="89" t="s">
        <v>15</v>
      </c>
      <c r="C17" s="235">
        <v>656738.71000000008</v>
      </c>
      <c r="D17" s="236"/>
      <c r="E17" s="235">
        <v>495751.61241819197</v>
      </c>
      <c r="F17" s="236"/>
      <c r="G17" s="235">
        <v>160987.09758180811</v>
      </c>
      <c r="H17" s="237"/>
      <c r="I17" s="14"/>
    </row>
    <row r="18" spans="2:15" ht="16.5" thickBot="1">
      <c r="B18" s="90" t="s">
        <v>176</v>
      </c>
      <c r="C18" s="235">
        <v>672424.23081983905</v>
      </c>
      <c r="D18" s="236"/>
      <c r="E18" s="260">
        <v>544778.23081983905</v>
      </c>
      <c r="F18" s="261"/>
      <c r="G18" s="260">
        <v>127646</v>
      </c>
      <c r="H18" s="262"/>
      <c r="I18" s="14"/>
    </row>
    <row r="19" spans="2:15" ht="29.25" customHeight="1" thickBot="1">
      <c r="B19" s="92" t="s">
        <v>274</v>
      </c>
      <c r="C19" s="249">
        <f>E19+G19</f>
        <v>-15685.520819838974</v>
      </c>
      <c r="D19" s="250"/>
      <c r="E19" s="251">
        <f>E17-E18</f>
        <v>-49026.61840164708</v>
      </c>
      <c r="F19" s="252"/>
      <c r="G19" s="251">
        <f>G17-G18</f>
        <v>33341.097581808106</v>
      </c>
      <c r="H19" s="253"/>
      <c r="I19" s="14"/>
    </row>
    <row r="20" spans="2:15">
      <c r="B20" s="11"/>
      <c r="C20" s="76"/>
      <c r="D20" s="87"/>
      <c r="E20" s="216"/>
      <c r="I20" s="14"/>
    </row>
    <row r="21" spans="2:15" ht="19.5" customHeight="1" thickBot="1">
      <c r="B21" s="254" t="s">
        <v>302</v>
      </c>
      <c r="C21" s="254"/>
      <c r="D21" s="254"/>
      <c r="E21" s="254"/>
      <c r="F21" s="254"/>
      <c r="G21" s="254"/>
      <c r="H21" s="254"/>
      <c r="L21" s="131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31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79584.600000000006</v>
      </c>
      <c r="N23" s="204">
        <f>M23</f>
        <v>79584.600000000006</v>
      </c>
    </row>
    <row r="24" spans="2:15" ht="51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14979.600000000006</v>
      </c>
      <c r="G24" s="21">
        <f>$N$23/$N$24*E24</f>
        <v>14979.600000000006</v>
      </c>
      <c r="H24" s="22">
        <f>F24-G24</f>
        <v>0</v>
      </c>
      <c r="I24" s="23"/>
      <c r="J24" s="24"/>
      <c r="K24" s="24"/>
      <c r="L24" s="149"/>
      <c r="M24" s="205">
        <f>E33-E31</f>
        <v>18.169999999999995</v>
      </c>
      <c r="N24" s="205">
        <f>E33-E31</f>
        <v>18.169999999999995</v>
      </c>
      <c r="O24" s="198">
        <f>N24</f>
        <v>18.169999999999995</v>
      </c>
    </row>
    <row r="25" spans="2:15" ht="51">
      <c r="B25" s="26" t="s">
        <v>189</v>
      </c>
      <c r="C25" s="6" t="s">
        <v>205</v>
      </c>
      <c r="D25" s="19" t="s">
        <v>188</v>
      </c>
      <c r="E25" s="94">
        <v>3.8</v>
      </c>
      <c r="F25" s="20">
        <f t="shared" ref="F25:F32" si="0">$M$23/$M$24*E25</f>
        <v>16644.000000000007</v>
      </c>
      <c r="G25" s="21">
        <f t="shared" ref="G25:G30" si="1">$N$23/$N$24*E25</f>
        <v>16644.000000000007</v>
      </c>
      <c r="H25" s="22">
        <f t="shared" ref="H25:H30" si="2">F25-G25</f>
        <v>0</v>
      </c>
      <c r="I25" s="58"/>
      <c r="J25" s="2"/>
      <c r="K25" s="2"/>
      <c r="L25" s="127"/>
      <c r="M25" s="188"/>
      <c r="N25" s="188"/>
      <c r="O25" s="188"/>
    </row>
    <row r="26" spans="2:15" ht="4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si="0"/>
        <v>1533.0000000000005</v>
      </c>
      <c r="G26" s="21">
        <f t="shared" si="1"/>
        <v>1533.0000000000005</v>
      </c>
      <c r="H26" s="22">
        <f t="shared" si="2"/>
        <v>0</v>
      </c>
      <c r="I26" s="41"/>
      <c r="L26" s="127"/>
      <c r="M26" s="193"/>
      <c r="N26" s="193"/>
      <c r="O26" s="193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si="0"/>
        <v>2803.2000000000012</v>
      </c>
      <c r="G27" s="21">
        <f t="shared" si="1"/>
        <v>2803.2000000000012</v>
      </c>
      <c r="H27" s="22">
        <f t="shared" si="2"/>
        <v>0</v>
      </c>
      <c r="I27" s="41"/>
      <c r="L27" s="197"/>
      <c r="M27" s="188"/>
      <c r="N27" s="188"/>
      <c r="O27" s="188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si="0"/>
        <v>6657.6000000000031</v>
      </c>
      <c r="G28" s="21">
        <f t="shared" si="1"/>
        <v>6657.6000000000031</v>
      </c>
      <c r="H28" s="22">
        <f t="shared" si="2"/>
        <v>0</v>
      </c>
      <c r="I28" s="41"/>
    </row>
    <row r="29" spans="2:15" ht="216.7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0"/>
        <v>31404.600000000013</v>
      </c>
      <c r="G29" s="21">
        <f t="shared" si="1"/>
        <v>31404.600000000013</v>
      </c>
      <c r="H29" s="22">
        <f t="shared" si="2"/>
        <v>0</v>
      </c>
      <c r="I29" s="58"/>
      <c r="J29" s="2"/>
      <c r="K29" s="2"/>
      <c r="L29" s="159"/>
      <c r="M29" s="186"/>
      <c r="N29" s="186"/>
    </row>
    <row r="30" spans="2:15" ht="107.25" customHeight="1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0"/>
        <v>1314.0000000000005</v>
      </c>
      <c r="G30" s="21">
        <f t="shared" si="1"/>
        <v>1314.0000000000005</v>
      </c>
      <c r="H30" s="22">
        <f t="shared" si="2"/>
        <v>0</v>
      </c>
      <c r="I30" s="41"/>
    </row>
    <row r="31" spans="2:15" ht="45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21243</v>
      </c>
      <c r="G31" s="4">
        <v>20724</v>
      </c>
      <c r="H31" s="22">
        <f>F31-G31</f>
        <v>519</v>
      </c>
      <c r="I31" s="41"/>
      <c r="L31" s="131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0.97</v>
      </c>
      <c r="F32" s="20">
        <f t="shared" si="0"/>
        <v>4248.6000000000013</v>
      </c>
      <c r="G32" s="21">
        <f t="shared" ref="G32" si="3">$N$23/$N$24*E32</f>
        <v>4248.6000000000013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23.019999999999996</v>
      </c>
      <c r="F33" s="53">
        <f>SUM(F24:F32)</f>
        <v>100827.60000000003</v>
      </c>
      <c r="G33" s="54">
        <f>SUM(G24:G32)</f>
        <v>100308.60000000003</v>
      </c>
      <c r="H33" s="35">
        <f>SUM(H24:H32)</f>
        <v>519</v>
      </c>
      <c r="I33" s="59"/>
    </row>
    <row r="34" spans="2:15">
      <c r="B34" s="14"/>
      <c r="C34" s="14"/>
      <c r="D34" s="14"/>
      <c r="E34" s="82"/>
      <c r="F34" s="78"/>
      <c r="G34" s="82"/>
      <c r="H34" s="78"/>
      <c r="O34" s="187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0.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176"/>
      <c r="M36" s="187"/>
      <c r="N36" s="187"/>
    </row>
    <row r="37" spans="2:15">
      <c r="B37" s="88" t="s">
        <v>14</v>
      </c>
      <c r="C37" s="238">
        <f>E37+G37</f>
        <v>821652.88230156992</v>
      </c>
      <c r="D37" s="239"/>
      <c r="E37" s="263">
        <f>F24+F25+F26+F27+F28+F29+F30+F32+E16</f>
        <v>623139.93879075465</v>
      </c>
      <c r="F37" s="264"/>
      <c r="G37" s="263">
        <f>F31+G16</f>
        <v>198512.94351081533</v>
      </c>
      <c r="H37" s="265"/>
      <c r="I37" s="73"/>
      <c r="J37" s="74"/>
      <c r="K37" s="7"/>
      <c r="L37" s="179"/>
      <c r="M37" s="188"/>
    </row>
    <row r="38" spans="2:15">
      <c r="B38" s="89" t="s">
        <v>15</v>
      </c>
      <c r="C38" s="235">
        <f>E38+G38</f>
        <v>763287.55</v>
      </c>
      <c r="D38" s="236"/>
      <c r="E38" s="235">
        <f>E17+84100.45</f>
        <v>579852.06241819193</v>
      </c>
      <c r="F38" s="236"/>
      <c r="G38" s="235">
        <f>G17+22448.39</f>
        <v>183435.48758180812</v>
      </c>
      <c r="H38" s="237"/>
      <c r="I38" s="73"/>
      <c r="J38" s="74"/>
      <c r="K38" s="9"/>
      <c r="L38" s="179"/>
      <c r="M38" s="188"/>
    </row>
    <row r="39" spans="2:15" ht="16.5" thickBot="1">
      <c r="B39" s="90" t="s">
        <v>176</v>
      </c>
      <c r="C39" s="269">
        <f>E39+G39</f>
        <v>772732.83081983915</v>
      </c>
      <c r="D39" s="270"/>
      <c r="E39" s="260">
        <f>G24+G25+G26+G27+G28+G29+G30+G32+E18</f>
        <v>624362.83081983915</v>
      </c>
      <c r="F39" s="261"/>
      <c r="G39" s="260">
        <f>G31+G18</f>
        <v>148370</v>
      </c>
      <c r="H39" s="262"/>
      <c r="I39" s="73"/>
      <c r="J39" s="74"/>
      <c r="K39" s="41"/>
      <c r="L39" s="156"/>
    </row>
    <row r="40" spans="2:15" ht="28.5" customHeight="1" thickBot="1">
      <c r="B40" s="92" t="s">
        <v>275</v>
      </c>
      <c r="C40" s="249">
        <f>E40+G40</f>
        <v>-9445.2808198390994</v>
      </c>
      <c r="D40" s="250"/>
      <c r="E40" s="251">
        <f>E38-E39</f>
        <v>-44510.768401647219</v>
      </c>
      <c r="F40" s="252"/>
      <c r="G40" s="251">
        <f>G38-G39</f>
        <v>35065.48758180812</v>
      </c>
      <c r="H40" s="253"/>
      <c r="I40" s="73"/>
      <c r="J40" s="74"/>
      <c r="K40" s="41"/>
      <c r="L40" s="156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154"/>
      <c r="M41" s="186"/>
      <c r="N41" s="186"/>
      <c r="O41" s="186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154"/>
      <c r="M42" s="186"/>
      <c r="N42" s="186"/>
      <c r="O42" s="186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154"/>
      <c r="M43" s="186"/>
      <c r="N43" s="186"/>
      <c r="O43" s="186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1.25" customHeight="1">
      <c r="C48" s="10"/>
      <c r="E48" s="220"/>
    </row>
  </sheetData>
  <mergeCells count="54">
    <mergeCell ref="M21:M22"/>
    <mergeCell ref="N21:N22"/>
    <mergeCell ref="C36:D36"/>
    <mergeCell ref="C37:D37"/>
    <mergeCell ref="C38:D38"/>
    <mergeCell ref="E38:F38"/>
    <mergeCell ref="G38:H38"/>
    <mergeCell ref="B35:H35"/>
    <mergeCell ref="E36:F36"/>
    <mergeCell ref="G36:H36"/>
    <mergeCell ref="E37:F37"/>
    <mergeCell ref="G37:H37"/>
    <mergeCell ref="C15:D15"/>
    <mergeCell ref="C16:D16"/>
    <mergeCell ref="C17:D17"/>
    <mergeCell ref="C18:D18"/>
    <mergeCell ref="C19:D19"/>
    <mergeCell ref="G19:H19"/>
    <mergeCell ref="E16:F16"/>
    <mergeCell ref="G16:H16"/>
    <mergeCell ref="E17:F17"/>
    <mergeCell ref="G17:H17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8:F18"/>
    <mergeCell ref="G18:H18"/>
    <mergeCell ref="E19:F19"/>
    <mergeCell ref="C41:E41"/>
    <mergeCell ref="C43:E43"/>
    <mergeCell ref="C45:E45"/>
    <mergeCell ref="C47:E47"/>
    <mergeCell ref="G39:H39"/>
    <mergeCell ref="G40:H40"/>
    <mergeCell ref="F47:G47"/>
    <mergeCell ref="F44:G44"/>
    <mergeCell ref="F45:G45"/>
    <mergeCell ref="F43:G43"/>
    <mergeCell ref="F41:G41"/>
    <mergeCell ref="F42:G42"/>
    <mergeCell ref="C39:D39"/>
    <mergeCell ref="C40:D40"/>
    <mergeCell ref="E40:F40"/>
    <mergeCell ref="E39:F39"/>
  </mergeCells>
  <printOptions horizontalCentered="1"/>
  <pageMargins left="0.19685039370078741" right="0.39370078740157483" top="0.15748031496062992" bottom="0.23622047244094491" header="0.31496062992125984" footer="0.31496062992125984"/>
  <pageSetup paperSize="9" scale="4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42578125" style="3" customWidth="1"/>
    <col min="3" max="3" width="22.28515625" style="78" customWidth="1"/>
    <col min="4" max="4" width="9.42578125" style="78" customWidth="1"/>
    <col min="5" max="5" width="10.28515625" style="78" customWidth="1"/>
    <col min="6" max="6" width="10" style="3" customWidth="1"/>
    <col min="7" max="7" width="10.5703125" style="3" customWidth="1"/>
    <col min="8" max="8" width="11" style="3" customWidth="1"/>
    <col min="9" max="9" width="10.7109375" style="3" bestFit="1" customWidth="1"/>
    <col min="10" max="11" width="9.140625" style="3"/>
    <col min="12" max="12" width="9.140625" style="125"/>
    <col min="13" max="13" width="13.7109375" style="185" customWidth="1"/>
    <col min="14" max="14" width="14.14062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119</v>
      </c>
      <c r="E5" s="233"/>
    </row>
    <row r="6" spans="1:9">
      <c r="B6" s="8" t="s">
        <v>1</v>
      </c>
      <c r="C6" s="45"/>
      <c r="D6" s="217">
        <v>1961</v>
      </c>
      <c r="E6" s="217"/>
    </row>
    <row r="7" spans="1:9" ht="15" hidden="1" customHeight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16</v>
      </c>
      <c r="E8" s="217"/>
    </row>
    <row r="9" spans="1:9" ht="30.75" hidden="1" customHeight="1" outlineLevel="1">
      <c r="B9" s="111" t="s">
        <v>4</v>
      </c>
      <c r="C9" s="122"/>
      <c r="D9" s="217" t="s">
        <v>120</v>
      </c>
      <c r="E9" s="217"/>
    </row>
    <row r="10" spans="1:9" collapsed="1">
      <c r="B10" s="8" t="s">
        <v>5</v>
      </c>
      <c r="C10" s="45"/>
      <c r="D10" s="217" t="s">
        <v>246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122</v>
      </c>
      <c r="E12" s="216"/>
      <c r="I12" s="14"/>
    </row>
    <row r="13" spans="1:9" ht="9.7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3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1388149.6647527986</v>
      </c>
      <c r="D16" s="239"/>
      <c r="E16" s="238">
        <v>992584.10475279868</v>
      </c>
      <c r="F16" s="239"/>
      <c r="G16" s="238">
        <v>395565.56000000006</v>
      </c>
      <c r="H16" s="240"/>
      <c r="I16" s="14"/>
    </row>
    <row r="17" spans="2:15">
      <c r="B17" s="89" t="s">
        <v>15</v>
      </c>
      <c r="C17" s="235">
        <v>1334451.31</v>
      </c>
      <c r="D17" s="236"/>
      <c r="E17" s="235">
        <v>959417.5199999999</v>
      </c>
      <c r="F17" s="236"/>
      <c r="G17" s="235">
        <v>375033.79000000004</v>
      </c>
      <c r="H17" s="237"/>
      <c r="I17" s="14"/>
    </row>
    <row r="18" spans="2:15">
      <c r="B18" s="90" t="s">
        <v>176</v>
      </c>
      <c r="C18" s="235">
        <v>1312322.1888063294</v>
      </c>
      <c r="D18" s="236"/>
      <c r="E18" s="235">
        <v>1003216.1888063294</v>
      </c>
      <c r="F18" s="236"/>
      <c r="G18" s="235">
        <v>309106</v>
      </c>
      <c r="H18" s="237"/>
      <c r="I18" s="14"/>
    </row>
    <row r="19" spans="2:15" ht="16.5" thickBot="1">
      <c r="B19" s="91" t="s">
        <v>208</v>
      </c>
      <c r="C19" s="269">
        <v>32400</v>
      </c>
      <c r="D19" s="270"/>
      <c r="E19" s="269">
        <v>32400</v>
      </c>
      <c r="F19" s="270"/>
      <c r="G19" s="269">
        <v>0</v>
      </c>
      <c r="H19" s="271"/>
      <c r="I19" s="14"/>
    </row>
    <row r="20" spans="2:15" ht="30" customHeight="1" thickBot="1">
      <c r="B20" s="92" t="s">
        <v>274</v>
      </c>
      <c r="C20" s="249">
        <f>E20+G20</f>
        <v>54529.121193670551</v>
      </c>
      <c r="D20" s="250"/>
      <c r="E20" s="251">
        <f>E17+E19-E18</f>
        <v>-11398.668806329486</v>
      </c>
      <c r="F20" s="252"/>
      <c r="G20" s="251">
        <f>G17-G18</f>
        <v>65927.790000000037</v>
      </c>
      <c r="H20" s="253"/>
      <c r="I20" s="14"/>
    </row>
    <row r="21" spans="2:15">
      <c r="B21" s="11"/>
      <c r="C21" s="76"/>
      <c r="D21" s="87"/>
      <c r="E21" s="216"/>
      <c r="I21" s="14"/>
    </row>
    <row r="22" spans="2:15" ht="21" customHeight="1" thickBot="1">
      <c r="B22" s="254" t="s">
        <v>302</v>
      </c>
      <c r="C22" s="254"/>
      <c r="D22" s="254"/>
      <c r="E22" s="254"/>
      <c r="F22" s="254"/>
      <c r="G22" s="254"/>
      <c r="H22" s="254"/>
      <c r="L22" s="131"/>
      <c r="M22" s="241" t="s">
        <v>278</v>
      </c>
      <c r="N22" s="241" t="s">
        <v>279</v>
      </c>
    </row>
    <row r="23" spans="2:15" ht="32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L23" s="131"/>
      <c r="M23" s="242"/>
      <c r="N23" s="242"/>
    </row>
    <row r="24" spans="2:15" ht="53.2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M24" s="204">
        <v>140138.78</v>
      </c>
      <c r="N24" s="204">
        <f>M24</f>
        <v>140138.78</v>
      </c>
    </row>
    <row r="25" spans="2:15" ht="56.25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25781.314018289409</v>
      </c>
      <c r="G25" s="21">
        <f>$N$24/$N$25*E25</f>
        <v>25781.314018289409</v>
      </c>
      <c r="H25" s="22">
        <f>F25-G25</f>
        <v>0</v>
      </c>
      <c r="I25" s="57"/>
      <c r="J25" s="24"/>
      <c r="K25" s="24"/>
      <c r="L25" s="149"/>
      <c r="M25" s="205">
        <f>E34-E32</f>
        <v>18.589999999999996</v>
      </c>
      <c r="N25" s="205">
        <f>E34-E32</f>
        <v>18.589999999999996</v>
      </c>
      <c r="O25" s="24"/>
    </row>
    <row r="26" spans="2:15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28645.904464766008</v>
      </c>
      <c r="G26" s="4">
        <f>$N$24/$N$25*E26</f>
        <v>28645.904464766008</v>
      </c>
      <c r="H26" s="22">
        <f t="shared" ref="H26:H31" si="0">F26-G26</f>
        <v>0</v>
      </c>
      <c r="I26" s="58"/>
      <c r="J26" s="2"/>
      <c r="K26" s="2"/>
      <c r="L26" s="154"/>
      <c r="M26" s="186"/>
      <c r="N26" s="186"/>
      <c r="O26" s="2"/>
    </row>
    <row r="27" spans="2:15" ht="56.25">
      <c r="B27" s="27" t="s">
        <v>171</v>
      </c>
      <c r="C27" s="6" t="s">
        <v>205</v>
      </c>
      <c r="D27" s="19" t="s">
        <v>188</v>
      </c>
      <c r="E27" s="94">
        <v>0.35</v>
      </c>
      <c r="F27" s="20">
        <f t="shared" ref="F27:F33" si="1">$M$24/$M$25*E27</f>
        <v>2638.4385691231851</v>
      </c>
      <c r="G27" s="4">
        <f t="shared" ref="G27:G30" si="2">$N$24/$N$25*E27</f>
        <v>2638.4385691231851</v>
      </c>
      <c r="H27" s="22">
        <f t="shared" si="0"/>
        <v>0</v>
      </c>
      <c r="I27" s="41"/>
      <c r="L27" s="131"/>
    </row>
    <row r="28" spans="2:15" ht="25.5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ref="F28" si="3">$M$24/$M$25*E28</f>
        <v>4824.5733835395386</v>
      </c>
      <c r="G28" s="4">
        <f t="shared" ref="G28" si="4">$N$24/$N$25*E28</f>
        <v>4824.5733835395386</v>
      </c>
      <c r="H28" s="22">
        <f t="shared" si="0"/>
        <v>0</v>
      </c>
      <c r="I28" s="41"/>
      <c r="L28" s="131"/>
    </row>
    <row r="29" spans="2:15" ht="51">
      <c r="B29" s="26" t="s">
        <v>179</v>
      </c>
      <c r="C29" s="29" t="s">
        <v>211</v>
      </c>
      <c r="D29" s="19" t="s">
        <v>188</v>
      </c>
      <c r="E29" s="94">
        <v>1.52</v>
      </c>
      <c r="F29" s="20">
        <f t="shared" si="1"/>
        <v>11458.361785906403</v>
      </c>
      <c r="G29" s="4">
        <f t="shared" si="2"/>
        <v>11458.361785906403</v>
      </c>
      <c r="H29" s="22">
        <f t="shared" si="0"/>
        <v>0</v>
      </c>
      <c r="I29" s="41"/>
    </row>
    <row r="30" spans="2:15" ht="217.5" customHeight="1">
      <c r="B30" s="26" t="s">
        <v>204</v>
      </c>
      <c r="C30" s="29" t="s">
        <v>191</v>
      </c>
      <c r="D30" s="19" t="s">
        <v>188</v>
      </c>
      <c r="E30" s="94">
        <v>7.17</v>
      </c>
      <c r="F30" s="20">
        <f t="shared" si="1"/>
        <v>54050.298687466391</v>
      </c>
      <c r="G30" s="4">
        <f t="shared" si="2"/>
        <v>54050.298687466391</v>
      </c>
      <c r="H30" s="22">
        <f t="shared" si="0"/>
        <v>0</v>
      </c>
      <c r="I30" s="58"/>
      <c r="J30" s="2"/>
      <c r="K30" s="2"/>
      <c r="L30" s="159"/>
      <c r="M30" s="186"/>
      <c r="N30" s="186"/>
    </row>
    <row r="31" spans="2:15" ht="107.25" customHeight="1">
      <c r="B31" s="26" t="s">
        <v>192</v>
      </c>
      <c r="C31" s="6" t="s">
        <v>205</v>
      </c>
      <c r="D31" s="19" t="s">
        <v>188</v>
      </c>
      <c r="E31" s="94">
        <v>0.4</v>
      </c>
      <c r="F31" s="20">
        <f t="shared" si="1"/>
        <v>3015.3583647122118</v>
      </c>
      <c r="G31" s="4">
        <f t="shared" ref="G31" si="5">$N$24/$N$25*E31</f>
        <v>3015.3583647122118</v>
      </c>
      <c r="H31" s="22">
        <f t="shared" si="0"/>
        <v>0</v>
      </c>
      <c r="I31" s="41"/>
    </row>
    <row r="32" spans="2:15" ht="56.25">
      <c r="B32" s="27" t="s">
        <v>193</v>
      </c>
      <c r="C32" s="6" t="s">
        <v>205</v>
      </c>
      <c r="D32" s="19" t="s">
        <v>188</v>
      </c>
      <c r="E32" s="94">
        <v>4.8499999999999996</v>
      </c>
      <c r="F32" s="20">
        <v>36561.22</v>
      </c>
      <c r="G32" s="4">
        <v>39431</v>
      </c>
      <c r="H32" s="22">
        <f>F32-G32</f>
        <v>-2869.7799999999988</v>
      </c>
      <c r="I32" s="41"/>
      <c r="L32" s="131"/>
    </row>
    <row r="33" spans="2:15" ht="16.5" thickBot="1">
      <c r="B33" s="48" t="s">
        <v>173</v>
      </c>
      <c r="C33" s="49" t="s">
        <v>191</v>
      </c>
      <c r="D33" s="50" t="s">
        <v>188</v>
      </c>
      <c r="E33" s="98">
        <v>1.29</v>
      </c>
      <c r="F33" s="20">
        <f t="shared" si="1"/>
        <v>9724.5307261968828</v>
      </c>
      <c r="G33" s="4">
        <f t="shared" ref="G33" si="6">$N$24/$N$25*E33</f>
        <v>9724.5307261968828</v>
      </c>
      <c r="H33" s="30">
        <f>F33-G33</f>
        <v>0</v>
      </c>
      <c r="I33" s="41"/>
    </row>
    <row r="34" spans="2:15" ht="16.5" thickBot="1">
      <c r="B34" s="51" t="s">
        <v>177</v>
      </c>
      <c r="C34" s="52"/>
      <c r="D34" s="52"/>
      <c r="E34" s="96">
        <f>SUM(E25:E33)</f>
        <v>23.439999999999998</v>
      </c>
      <c r="F34" s="53">
        <f>SUM(F25:F33)</f>
        <v>176700.00000000003</v>
      </c>
      <c r="G34" s="54">
        <f>SUM(G25:G33)</f>
        <v>179569.78000000003</v>
      </c>
      <c r="H34" s="35">
        <f>SUM(H25:H33)</f>
        <v>-2869.7799999999988</v>
      </c>
      <c r="I34" s="59"/>
    </row>
    <row r="35" spans="2:15">
      <c r="B35" s="14"/>
      <c r="C35" s="14"/>
      <c r="D35" s="14"/>
      <c r="E35" s="82"/>
      <c r="F35" s="78"/>
      <c r="G35" s="82"/>
      <c r="H35" s="78"/>
      <c r="O35" s="78"/>
    </row>
    <row r="36" spans="2:15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70"/>
      <c r="J36" s="70"/>
    </row>
    <row r="37" spans="2:15" ht="46.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71"/>
      <c r="J37" s="72"/>
      <c r="K37" s="39"/>
      <c r="L37" s="176"/>
      <c r="M37" s="187"/>
      <c r="N37" s="187"/>
    </row>
    <row r="38" spans="2:15">
      <c r="B38" s="88" t="s">
        <v>14</v>
      </c>
      <c r="C38" s="238">
        <f>E38+G38</f>
        <v>1564849.6647527989</v>
      </c>
      <c r="D38" s="239"/>
      <c r="E38" s="263">
        <f>F25+F26+F27+F28+F29+F30+F31+F33+E16</f>
        <v>1132722.8847527988</v>
      </c>
      <c r="F38" s="264"/>
      <c r="G38" s="263">
        <f>F32+G16</f>
        <v>432126.78</v>
      </c>
      <c r="H38" s="265"/>
      <c r="I38" s="73"/>
      <c r="J38" s="74"/>
      <c r="K38" s="7"/>
      <c r="L38" s="179"/>
      <c r="M38" s="188"/>
    </row>
    <row r="39" spans="2:15">
      <c r="B39" s="89" t="s">
        <v>15</v>
      </c>
      <c r="C39" s="235">
        <f>E39+G39</f>
        <v>1502715.9</v>
      </c>
      <c r="D39" s="236"/>
      <c r="E39" s="235">
        <f>E17+133448.75</f>
        <v>1092866.27</v>
      </c>
      <c r="F39" s="236"/>
      <c r="G39" s="235">
        <f>G17+34815.84</f>
        <v>409849.63</v>
      </c>
      <c r="H39" s="237"/>
      <c r="I39" s="73"/>
      <c r="J39" s="74"/>
      <c r="K39" s="9"/>
      <c r="L39" s="179"/>
      <c r="M39" s="188"/>
    </row>
    <row r="40" spans="2:15">
      <c r="B40" s="90" t="s">
        <v>176</v>
      </c>
      <c r="C40" s="235">
        <f>E40+G40</f>
        <v>1491891.9688063294</v>
      </c>
      <c r="D40" s="236"/>
      <c r="E40" s="260">
        <f>G25+G26+G27+G28+G29+G30+G31+G33+E18</f>
        <v>1143354.9688063294</v>
      </c>
      <c r="F40" s="261"/>
      <c r="G40" s="260">
        <f>G32+G18</f>
        <v>348537</v>
      </c>
      <c r="H40" s="262"/>
      <c r="I40" s="73"/>
      <c r="J40" s="74"/>
      <c r="K40" s="41"/>
      <c r="L40" s="156"/>
    </row>
    <row r="41" spans="2:15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73"/>
      <c r="J41" s="74"/>
      <c r="K41" s="41"/>
      <c r="L41" s="156"/>
    </row>
    <row r="42" spans="2:15" ht="36.75" thickBot="1">
      <c r="B42" s="92" t="s">
        <v>275</v>
      </c>
      <c r="C42" s="249">
        <f>E42+G42</f>
        <v>46823.931193670607</v>
      </c>
      <c r="D42" s="250"/>
      <c r="E42" s="251">
        <f>E39+E41-E40</f>
        <v>-14488.698806329397</v>
      </c>
      <c r="F42" s="252"/>
      <c r="G42" s="251">
        <f>G39-G40</f>
        <v>61312.630000000005</v>
      </c>
      <c r="H42" s="253"/>
      <c r="I42" s="73"/>
      <c r="J42" s="74"/>
      <c r="K42" s="41"/>
      <c r="L42" s="156"/>
    </row>
    <row r="43" spans="2:15" ht="27.7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75"/>
      <c r="I43" s="75"/>
      <c r="J43" s="2"/>
      <c r="K43" s="2"/>
      <c r="L43" s="154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59"/>
      <c r="G44" s="259"/>
      <c r="H44" s="75"/>
      <c r="I44" s="75"/>
      <c r="J44" s="2"/>
      <c r="K44" s="2"/>
      <c r="L44" s="154"/>
      <c r="M44" s="186"/>
      <c r="N44" s="186"/>
      <c r="O44" s="2"/>
    </row>
    <row r="45" spans="2:15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75"/>
      <c r="I45" s="75"/>
      <c r="J45" s="2"/>
      <c r="K45" s="2"/>
      <c r="L45" s="154"/>
      <c r="M45" s="186"/>
      <c r="N45" s="186"/>
      <c r="O45" s="2"/>
    </row>
    <row r="46" spans="2:15" ht="9.75" customHeight="1">
      <c r="B46" s="219"/>
      <c r="C46" s="219"/>
      <c r="D46" s="219"/>
      <c r="E46" s="220"/>
      <c r="F46" s="267"/>
      <c r="G46" s="267"/>
      <c r="H46" s="75"/>
      <c r="I46" s="75"/>
    </row>
    <row r="47" spans="2:15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0.5" customHeight="1">
      <c r="B48" s="42"/>
      <c r="C48" s="42"/>
      <c r="D48" s="42"/>
      <c r="E48" s="220"/>
      <c r="F48" s="43"/>
      <c r="G48" s="44"/>
      <c r="H48" s="45"/>
      <c r="I48" s="8"/>
    </row>
    <row r="49" spans="2:9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75"/>
      <c r="I49" s="75"/>
    </row>
    <row r="50" spans="2:9" ht="11.25" customHeight="1">
      <c r="C50" s="10"/>
      <c r="E50" s="220"/>
    </row>
  </sheetData>
  <mergeCells count="60">
    <mergeCell ref="N22:N23"/>
    <mergeCell ref="C39:D39"/>
    <mergeCell ref="C40:D40"/>
    <mergeCell ref="C41:D41"/>
    <mergeCell ref="C42:D42"/>
    <mergeCell ref="M22:M23"/>
    <mergeCell ref="B36:H36"/>
    <mergeCell ref="E37:F37"/>
    <mergeCell ref="G37:H37"/>
    <mergeCell ref="E38:F38"/>
    <mergeCell ref="G38:H38"/>
    <mergeCell ref="C37:D37"/>
    <mergeCell ref="C38:D38"/>
    <mergeCell ref="E39:F39"/>
    <mergeCell ref="G39:H39"/>
    <mergeCell ref="E40:F40"/>
    <mergeCell ref="E19:F19"/>
    <mergeCell ref="G19:H19"/>
    <mergeCell ref="E20:F20"/>
    <mergeCell ref="G20:H20"/>
    <mergeCell ref="C19:D19"/>
    <mergeCell ref="C20:D20"/>
    <mergeCell ref="C16:D16"/>
    <mergeCell ref="E17:F17"/>
    <mergeCell ref="G17:H17"/>
    <mergeCell ref="E18:F18"/>
    <mergeCell ref="G18:H18"/>
    <mergeCell ref="C17:D17"/>
    <mergeCell ref="C18:D18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E16:F16"/>
    <mergeCell ref="G16:H16"/>
    <mergeCell ref="C15:D15"/>
    <mergeCell ref="G40:H40"/>
    <mergeCell ref="G42:H42"/>
    <mergeCell ref="E42:F42"/>
    <mergeCell ref="E41:F41"/>
    <mergeCell ref="G41:H41"/>
    <mergeCell ref="C43:E43"/>
    <mergeCell ref="C45:E45"/>
    <mergeCell ref="C47:E47"/>
    <mergeCell ref="C49:E49"/>
    <mergeCell ref="F49:G49"/>
    <mergeCell ref="F43:G43"/>
    <mergeCell ref="F44:G44"/>
    <mergeCell ref="F45:G45"/>
    <mergeCell ref="F46:G46"/>
    <mergeCell ref="F47:G47"/>
  </mergeCells>
  <printOptions horizontalCentered="1"/>
  <pageMargins left="0.19685039370078741" right="0.19685039370078741" top="0.15748031496062992" bottom="0.31496062992125984" header="0.59055118110236227" footer="0.31496062992125984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Q61"/>
  <sheetViews>
    <sheetView topLeftCell="A32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" style="3" customWidth="1"/>
    <col min="3" max="3" width="20.140625" style="82" customWidth="1"/>
    <col min="4" max="4" width="8.85546875" style="78" customWidth="1"/>
    <col min="5" max="5" width="9.5703125" style="78" customWidth="1"/>
    <col min="6" max="6" width="9.7109375" style="78" customWidth="1"/>
    <col min="7" max="7" width="10.28515625" style="3" customWidth="1"/>
    <col min="8" max="8" width="10.42578125" style="84" customWidth="1"/>
    <col min="9" max="9" width="9.5703125" style="3" bestFit="1" customWidth="1"/>
    <col min="10" max="12" width="9.5703125" style="3" customWidth="1"/>
    <col min="13" max="13" width="10.85546875" style="3" customWidth="1"/>
    <col min="14" max="14" width="17.7109375" style="185" customWidth="1"/>
    <col min="15" max="15" width="16.5703125" style="185" customWidth="1"/>
    <col min="16" max="17" width="9.140625" style="125"/>
    <col min="18" max="16384" width="9.140625" style="3"/>
  </cols>
  <sheetData>
    <row r="1" spans="2:8">
      <c r="B1" s="272" t="s">
        <v>196</v>
      </c>
      <c r="C1" s="272"/>
      <c r="D1" s="272"/>
      <c r="E1" s="272"/>
      <c r="F1" s="272"/>
      <c r="G1" s="272"/>
      <c r="H1" s="272"/>
    </row>
    <row r="2" spans="2:8" ht="24" customHeight="1">
      <c r="B2" s="231" t="s">
        <v>306</v>
      </c>
      <c r="C2" s="231"/>
      <c r="D2" s="231"/>
      <c r="E2" s="231"/>
      <c r="F2" s="231"/>
      <c r="G2" s="231"/>
      <c r="H2" s="231"/>
    </row>
    <row r="3" spans="2:8" ht="11.25" customHeight="1">
      <c r="B3" s="231"/>
      <c r="C3" s="231"/>
      <c r="D3" s="231"/>
      <c r="E3" s="231"/>
      <c r="F3" s="231"/>
      <c r="G3" s="231"/>
      <c r="H3" s="231"/>
    </row>
    <row r="4" spans="2:8" ht="11.25" customHeight="1">
      <c r="B4" s="221"/>
      <c r="C4" s="221"/>
      <c r="D4" s="221"/>
      <c r="E4" s="221"/>
      <c r="F4" s="221"/>
      <c r="G4" s="221"/>
      <c r="H4" s="221"/>
    </row>
    <row r="5" spans="2:8">
      <c r="B5" s="8" t="s">
        <v>0</v>
      </c>
      <c r="C5" s="114"/>
      <c r="D5" s="233" t="s">
        <v>19</v>
      </c>
      <c r="E5" s="233"/>
    </row>
    <row r="6" spans="2:8">
      <c r="B6" s="8" t="s">
        <v>1</v>
      </c>
      <c r="C6" s="114"/>
      <c r="D6" s="217">
        <v>1961</v>
      </c>
      <c r="E6" s="217"/>
    </row>
    <row r="7" spans="2:8" hidden="1" outlineLevel="1">
      <c r="B7" s="8" t="s">
        <v>2</v>
      </c>
      <c r="C7" s="114"/>
      <c r="D7" s="217">
        <v>2</v>
      </c>
      <c r="E7" s="217"/>
    </row>
    <row r="8" spans="2:8" hidden="1" outlineLevel="1">
      <c r="B8" s="8" t="s">
        <v>3</v>
      </c>
      <c r="C8" s="114"/>
      <c r="D8" s="217">
        <v>8</v>
      </c>
      <c r="E8" s="217"/>
    </row>
    <row r="9" spans="2:8" ht="26.25" hidden="1" outlineLevel="1">
      <c r="B9" s="111" t="s">
        <v>4</v>
      </c>
      <c r="C9" s="115"/>
      <c r="D9" s="217" t="s">
        <v>20</v>
      </c>
      <c r="E9" s="217"/>
    </row>
    <row r="10" spans="2:8" collapsed="1">
      <c r="B10" s="8" t="s">
        <v>5</v>
      </c>
      <c r="C10" s="114"/>
      <c r="D10" s="217" t="s">
        <v>212</v>
      </c>
      <c r="E10" s="217"/>
    </row>
    <row r="11" spans="2:8" hidden="1" outlineLevel="1">
      <c r="B11" s="3" t="s">
        <v>6</v>
      </c>
      <c r="D11" s="216" t="s">
        <v>12</v>
      </c>
      <c r="E11" s="216"/>
    </row>
    <row r="12" spans="2:8" ht="31.5" hidden="1" customHeight="1" outlineLevel="1">
      <c r="B12" s="11" t="s">
        <v>7</v>
      </c>
      <c r="C12" s="55"/>
      <c r="D12" s="87" t="s">
        <v>21</v>
      </c>
      <c r="E12" s="216"/>
    </row>
    <row r="13" spans="2:8" ht="12" customHeight="1" collapsed="1">
      <c r="B13" s="11"/>
      <c r="C13" s="55"/>
      <c r="D13" s="87"/>
      <c r="E13" s="216"/>
    </row>
    <row r="14" spans="2:8" ht="16.5" thickBot="1">
      <c r="B14" s="234" t="s">
        <v>295</v>
      </c>
      <c r="C14" s="234"/>
      <c r="D14" s="234"/>
      <c r="E14" s="234"/>
      <c r="F14" s="234"/>
      <c r="G14" s="234"/>
      <c r="H14" s="234"/>
    </row>
    <row r="15" spans="2:8" ht="51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</row>
    <row r="16" spans="2:8">
      <c r="B16" s="88" t="s">
        <v>14</v>
      </c>
      <c r="C16" s="238">
        <v>800460.48111615493</v>
      </c>
      <c r="D16" s="273"/>
      <c r="E16" s="263">
        <v>540314.09111615492</v>
      </c>
      <c r="F16" s="264"/>
      <c r="G16" s="263">
        <v>260146.39</v>
      </c>
      <c r="H16" s="265"/>
    </row>
    <row r="17" spans="2:15">
      <c r="B17" s="89" t="s">
        <v>15</v>
      </c>
      <c r="C17" s="235">
        <v>823753.67999999993</v>
      </c>
      <c r="D17" s="236"/>
      <c r="E17" s="235">
        <v>566382.22</v>
      </c>
      <c r="F17" s="236"/>
      <c r="G17" s="235">
        <v>257371.46</v>
      </c>
      <c r="H17" s="237"/>
    </row>
    <row r="18" spans="2:15" ht="16.5" thickBot="1">
      <c r="B18" s="90" t="s">
        <v>176</v>
      </c>
      <c r="C18" s="235">
        <v>815698.0671263478</v>
      </c>
      <c r="D18" s="236"/>
      <c r="E18" s="260">
        <v>554009.0671263478</v>
      </c>
      <c r="F18" s="261"/>
      <c r="G18" s="260">
        <v>261689</v>
      </c>
      <c r="H18" s="262"/>
    </row>
    <row r="19" spans="2:15" ht="30" customHeight="1" thickBot="1">
      <c r="B19" s="92" t="s">
        <v>274</v>
      </c>
      <c r="C19" s="249">
        <f>E19+G19</f>
        <v>8055.6128736521641</v>
      </c>
      <c r="D19" s="250"/>
      <c r="E19" s="251">
        <f>E17-E18</f>
        <v>12373.152873652172</v>
      </c>
      <c r="F19" s="252"/>
      <c r="G19" s="251">
        <f>G17-G18</f>
        <v>-4317.5400000000081</v>
      </c>
      <c r="H19" s="253"/>
    </row>
    <row r="20" spans="2:15">
      <c r="B20" s="99"/>
      <c r="C20" s="99"/>
      <c r="D20" s="100"/>
      <c r="E20" s="101"/>
      <c r="F20" s="101"/>
      <c r="G20" s="101"/>
      <c r="H20" s="101"/>
    </row>
    <row r="21" spans="2:15" ht="21" customHeight="1" thickBot="1">
      <c r="B21" s="254" t="s">
        <v>302</v>
      </c>
      <c r="C21" s="254"/>
      <c r="D21" s="254"/>
      <c r="E21" s="254"/>
      <c r="F21" s="254"/>
      <c r="G21" s="254"/>
      <c r="H21" s="254"/>
      <c r="M21" s="14"/>
      <c r="N21" s="241" t="s">
        <v>278</v>
      </c>
      <c r="O21" s="241" t="s">
        <v>279</v>
      </c>
    </row>
    <row r="22" spans="2:15" ht="27.7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M22" s="14"/>
      <c r="N22" s="242"/>
      <c r="O22" s="242"/>
    </row>
    <row r="23" spans="2:15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N23" s="204">
        <v>81585.19</v>
      </c>
      <c r="O23" s="204">
        <f>N23</f>
        <v>81585.19</v>
      </c>
    </row>
    <row r="24" spans="2:15" ht="67.5" customHeight="1">
      <c r="B24" s="18" t="s">
        <v>178</v>
      </c>
      <c r="C24" s="6" t="s">
        <v>205</v>
      </c>
      <c r="D24" s="19" t="s">
        <v>188</v>
      </c>
      <c r="E24" s="93">
        <v>3.75</v>
      </c>
      <c r="F24" s="20">
        <f>$N$23/$N$24*E24</f>
        <v>16875.039299503584</v>
      </c>
      <c r="G24" s="21">
        <f>$O$23/$O$24*E24</f>
        <v>16875.039299503584</v>
      </c>
      <c r="H24" s="22">
        <f>F24-G24</f>
        <v>0</v>
      </c>
      <c r="I24" s="24"/>
      <c r="J24" s="24"/>
      <c r="K24" s="24"/>
      <c r="L24" s="24"/>
      <c r="M24" s="25"/>
      <c r="N24" s="205">
        <f>E33-E31</f>
        <v>18.130000000000003</v>
      </c>
      <c r="O24" s="205">
        <f>E33-E31</f>
        <v>18.130000000000003</v>
      </c>
    </row>
    <row r="25" spans="2:15" ht="63" customHeight="1">
      <c r="B25" s="26" t="s">
        <v>189</v>
      </c>
      <c r="C25" s="6" t="s">
        <v>205</v>
      </c>
      <c r="D25" s="19" t="s">
        <v>188</v>
      </c>
      <c r="E25" s="94">
        <v>0</v>
      </c>
      <c r="F25" s="20">
        <f>$N$23/$N$24*E25</f>
        <v>0</v>
      </c>
      <c r="G25" s="21">
        <f>$O$23/$O$24*E25</f>
        <v>0</v>
      </c>
      <c r="H25" s="22">
        <f t="shared" ref="H25:H30" si="0">F25-G25</f>
        <v>0</v>
      </c>
      <c r="I25" s="2"/>
      <c r="J25" s="2"/>
      <c r="K25" s="2"/>
      <c r="L25" s="2"/>
      <c r="M25" s="2"/>
      <c r="N25" s="186"/>
      <c r="O25" s="186"/>
    </row>
    <row r="26" spans="2:15" ht="63.75" customHeight="1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$N$23/$N$24*E26</f>
        <v>1575.0036679536677</v>
      </c>
      <c r="G26" s="21">
        <f t="shared" ref="G26:G29" si="2">$O$23/$O$24*E26</f>
        <v>1575.0036679536677</v>
      </c>
      <c r="H26" s="22">
        <f t="shared" si="0"/>
        <v>0</v>
      </c>
      <c r="M26" s="14"/>
    </row>
    <row r="27" spans="2:15" ht="25.5">
      <c r="B27" s="27" t="s">
        <v>172</v>
      </c>
      <c r="C27" s="28" t="s">
        <v>190</v>
      </c>
      <c r="D27" s="19" t="s">
        <v>188</v>
      </c>
      <c r="E27" s="94">
        <v>0.7</v>
      </c>
      <c r="F27" s="20">
        <f t="shared" ref="F27" si="3">$N$23/$N$24*E27</f>
        <v>3150.0073359073353</v>
      </c>
      <c r="G27" s="21">
        <f t="shared" ref="G27" si="4">$O$23/$O$24*E27</f>
        <v>3150.0073359073353</v>
      </c>
      <c r="H27" s="22">
        <f t="shared" si="0"/>
        <v>0</v>
      </c>
      <c r="M27" s="14"/>
    </row>
    <row r="28" spans="2:15" ht="63.75" customHeight="1">
      <c r="B28" s="26" t="s">
        <v>179</v>
      </c>
      <c r="C28" s="6" t="s">
        <v>205</v>
      </c>
      <c r="D28" s="19" t="s">
        <v>188</v>
      </c>
      <c r="E28" s="94">
        <v>2</v>
      </c>
      <c r="F28" s="20">
        <f t="shared" ref="F28" si="5">$N$23/$N$24*E28</f>
        <v>9000.0209597352441</v>
      </c>
      <c r="G28" s="21">
        <f t="shared" ref="G28" si="6">$O$23/$O$24*E28</f>
        <v>9000.0209597352441</v>
      </c>
      <c r="H28" s="22">
        <f t="shared" si="0"/>
        <v>0</v>
      </c>
    </row>
    <row r="29" spans="2:15" ht="213" customHeight="1">
      <c r="B29" s="26" t="s">
        <v>201</v>
      </c>
      <c r="C29" s="29" t="s">
        <v>191</v>
      </c>
      <c r="D29" s="19" t="s">
        <v>188</v>
      </c>
      <c r="E29" s="94">
        <v>8.75</v>
      </c>
      <c r="F29" s="20">
        <f t="shared" si="1"/>
        <v>39375.091698841694</v>
      </c>
      <c r="G29" s="21">
        <f t="shared" si="2"/>
        <v>39375.091698841694</v>
      </c>
      <c r="H29" s="22">
        <f t="shared" si="0"/>
        <v>0</v>
      </c>
      <c r="I29" s="2"/>
      <c r="J29" s="2"/>
      <c r="K29" s="2"/>
      <c r="L29" s="2"/>
      <c r="M29" s="1"/>
      <c r="N29" s="186"/>
      <c r="O29" s="186"/>
    </row>
    <row r="30" spans="2:15" ht="117" customHeight="1">
      <c r="B30" s="26" t="s">
        <v>192</v>
      </c>
      <c r="C30" s="6" t="s">
        <v>205</v>
      </c>
      <c r="D30" s="19" t="s">
        <v>188</v>
      </c>
      <c r="E30" s="94">
        <v>0.95</v>
      </c>
      <c r="F30" s="20">
        <f t="shared" si="1"/>
        <v>4275.0099558742404</v>
      </c>
      <c r="G30" s="21">
        <f t="shared" ref="G30" si="7">$O$23/$O$24*E30</f>
        <v>4275.0099558742404</v>
      </c>
      <c r="H30" s="22">
        <f t="shared" si="0"/>
        <v>0</v>
      </c>
    </row>
    <row r="31" spans="2:15" ht="66.75" customHeight="1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21825.05</v>
      </c>
      <c r="G31" s="4">
        <v>0</v>
      </c>
      <c r="H31" s="22">
        <f>F31-G31</f>
        <v>21825.05</v>
      </c>
      <c r="M31" s="14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1.63</v>
      </c>
      <c r="F32" s="20">
        <f t="shared" si="1"/>
        <v>7335.0170821842239</v>
      </c>
      <c r="G32" s="21">
        <f t="shared" ref="G32" si="8">$O$23/$O$24*E32</f>
        <v>7335.0170821842239</v>
      </c>
      <c r="H32" s="30">
        <f>F32-G32</f>
        <v>0</v>
      </c>
    </row>
    <row r="33" spans="2:15" ht="16.5" thickBot="1">
      <c r="B33" s="51" t="s">
        <v>177</v>
      </c>
      <c r="C33" s="52"/>
      <c r="D33" s="52"/>
      <c r="E33" s="96">
        <f>SUM(E24:E32)</f>
        <v>22.98</v>
      </c>
      <c r="F33" s="53">
        <f>SUM(F24:F32)</f>
        <v>103410.23999999999</v>
      </c>
      <c r="G33" s="54">
        <f>SUM(G24:G32)</f>
        <v>81585.189999999988</v>
      </c>
      <c r="H33" s="35">
        <f>SUM(H24:H32)</f>
        <v>21825.05</v>
      </c>
      <c r="I33" s="14"/>
      <c r="J33" s="14"/>
    </row>
    <row r="34" spans="2:15">
      <c r="B34" s="14"/>
      <c r="C34" s="14"/>
      <c r="D34" s="14"/>
      <c r="E34" s="82"/>
      <c r="F34" s="82"/>
      <c r="G34" s="82"/>
      <c r="H34" s="78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</row>
    <row r="36" spans="2:15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9"/>
      <c r="J36" s="39"/>
      <c r="K36" s="39"/>
      <c r="L36" s="39"/>
      <c r="M36" s="40"/>
      <c r="N36" s="189"/>
      <c r="O36" s="187"/>
    </row>
    <row r="37" spans="2:15">
      <c r="B37" s="88" t="s">
        <v>14</v>
      </c>
      <c r="C37" s="238">
        <f>E37+G37</f>
        <v>903870.72111615492</v>
      </c>
      <c r="D37" s="239"/>
      <c r="E37" s="263">
        <f>F24+F25+F26+F27+F28+F29+F30+F32+E16</f>
        <v>621899.28111615486</v>
      </c>
      <c r="F37" s="264"/>
      <c r="G37" s="263">
        <f>F31+G16</f>
        <v>281971.44</v>
      </c>
      <c r="H37" s="265"/>
      <c r="I37" s="41"/>
      <c r="J37" s="41"/>
      <c r="K37" s="41"/>
      <c r="L37" s="41"/>
      <c r="M37" s="41"/>
      <c r="N37" s="190"/>
      <c r="O37" s="188"/>
    </row>
    <row r="38" spans="2:15">
      <c r="B38" s="89" t="s">
        <v>15</v>
      </c>
      <c r="C38" s="235">
        <f>E38+G38</f>
        <v>931407.45</v>
      </c>
      <c r="D38" s="236"/>
      <c r="E38" s="235">
        <f>E17+84933.11</f>
        <v>651315.32999999996</v>
      </c>
      <c r="F38" s="236"/>
      <c r="G38" s="235">
        <f>G17+22720.66</f>
        <v>280092.12</v>
      </c>
      <c r="H38" s="237"/>
      <c r="I38" s="59"/>
      <c r="J38" s="59"/>
      <c r="K38" s="59"/>
      <c r="L38" s="59"/>
      <c r="M38" s="41"/>
      <c r="N38" s="190"/>
      <c r="O38" s="188"/>
    </row>
    <row r="39" spans="2:15" ht="16.5" thickBot="1">
      <c r="B39" s="90" t="s">
        <v>176</v>
      </c>
      <c r="C39" s="269">
        <f>E39+G39</f>
        <v>897283.25712634774</v>
      </c>
      <c r="D39" s="270"/>
      <c r="E39" s="260">
        <f>G24+G25+G26+G27+G28+G29+G30+G32+E18</f>
        <v>635594.25712634774</v>
      </c>
      <c r="F39" s="261"/>
      <c r="G39" s="260">
        <f>G31+G18</f>
        <v>261689</v>
      </c>
      <c r="H39" s="262"/>
      <c r="I39" s="41"/>
      <c r="J39" s="41"/>
      <c r="K39" s="41"/>
      <c r="L39" s="41"/>
      <c r="M39" s="41"/>
    </row>
    <row r="40" spans="2:15" ht="36.75" thickBot="1">
      <c r="B40" s="92" t="s">
        <v>275</v>
      </c>
      <c r="C40" s="249">
        <f>E40+G40</f>
        <v>34124.19287365221</v>
      </c>
      <c r="D40" s="250"/>
      <c r="E40" s="251">
        <f>E38-E39</f>
        <v>15721.072873652214</v>
      </c>
      <c r="F40" s="252"/>
      <c r="G40" s="251">
        <f>G38-G39</f>
        <v>18403.119999999995</v>
      </c>
      <c r="H40" s="253"/>
      <c r="I40" s="41"/>
      <c r="J40" s="41"/>
      <c r="K40" s="41"/>
      <c r="L40" s="41"/>
      <c r="M40" s="41"/>
    </row>
    <row r="41" spans="2:15" ht="25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"/>
      <c r="J41" s="2"/>
      <c r="K41" s="2"/>
      <c r="L41" s="2"/>
      <c r="M41" s="2"/>
      <c r="N41" s="186"/>
      <c r="O41" s="186"/>
    </row>
    <row r="42" spans="2:15" ht="11.25" customHeight="1">
      <c r="B42" s="219"/>
      <c r="C42" s="219"/>
      <c r="D42" s="219"/>
      <c r="E42" s="220"/>
      <c r="F42" s="259"/>
      <c r="G42" s="259"/>
      <c r="H42" s="218"/>
      <c r="I42" s="2"/>
      <c r="J42" s="2"/>
      <c r="K42" s="2"/>
      <c r="L42" s="2"/>
      <c r="M42" s="2"/>
      <c r="N42" s="186"/>
      <c r="O42" s="186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"/>
      <c r="J43" s="2"/>
      <c r="K43" s="2"/>
      <c r="L43" s="2"/>
      <c r="M43" s="2"/>
      <c r="N43" s="186"/>
      <c r="O43" s="186"/>
    </row>
    <row r="44" spans="2:15" ht="9.75" customHeight="1">
      <c r="B44" s="219"/>
      <c r="C44" s="219"/>
      <c r="D44" s="219"/>
      <c r="E44" s="220"/>
      <c r="F44" s="267"/>
      <c r="G44" s="267"/>
      <c r="H44" s="219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</row>
    <row r="46" spans="2:15" ht="8.25" customHeight="1">
      <c r="B46" s="42"/>
      <c r="C46" s="42"/>
      <c r="D46" s="42"/>
      <c r="E46" s="220"/>
      <c r="F46" s="43"/>
      <c r="G46" s="44"/>
      <c r="H46" s="45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3"/>
    </row>
    <row r="48" spans="2:15" ht="9" customHeight="1">
      <c r="B48" s="46"/>
      <c r="C48" s="46"/>
      <c r="D48" s="46"/>
      <c r="E48" s="220"/>
      <c r="F48" s="268"/>
      <c r="G48" s="268"/>
      <c r="H48" s="3"/>
    </row>
    <row r="49" spans="5:8">
      <c r="E49" s="47"/>
      <c r="F49" s="3"/>
      <c r="H49" s="3"/>
    </row>
    <row r="50" spans="5:8">
      <c r="F50" s="3"/>
      <c r="H50" s="3"/>
    </row>
    <row r="51" spans="5:8">
      <c r="F51" s="3"/>
      <c r="H51" s="3"/>
    </row>
    <row r="52" spans="5:8">
      <c r="F52" s="3"/>
      <c r="H52" s="3"/>
    </row>
    <row r="53" spans="5:8">
      <c r="F53" s="3"/>
      <c r="H53" s="3"/>
    </row>
    <row r="54" spans="5:8">
      <c r="F54" s="3"/>
      <c r="H54" s="3"/>
    </row>
    <row r="55" spans="5:8">
      <c r="F55" s="3"/>
      <c r="H55" s="3"/>
    </row>
    <row r="56" spans="5:8">
      <c r="F56" s="3"/>
      <c r="H56" s="3"/>
    </row>
    <row r="57" spans="5:8">
      <c r="F57" s="3"/>
      <c r="H57" s="3"/>
    </row>
    <row r="58" spans="5:8">
      <c r="F58" s="3"/>
      <c r="H58" s="3"/>
    </row>
    <row r="59" spans="5:8">
      <c r="F59" s="3"/>
      <c r="H59" s="3"/>
    </row>
    <row r="60" spans="5:8">
      <c r="F60" s="3"/>
      <c r="H60" s="3"/>
    </row>
    <row r="61" spans="5:8">
      <c r="F61" s="3"/>
      <c r="H61" s="3"/>
    </row>
  </sheetData>
  <mergeCells count="55">
    <mergeCell ref="C43:E43"/>
    <mergeCell ref="C45:E45"/>
    <mergeCell ref="C47:E47"/>
    <mergeCell ref="C16:D16"/>
    <mergeCell ref="C17:D17"/>
    <mergeCell ref="C18:D18"/>
    <mergeCell ref="C19:D19"/>
    <mergeCell ref="E16:F16"/>
    <mergeCell ref="F41:G41"/>
    <mergeCell ref="E38:F38"/>
    <mergeCell ref="E39:F39"/>
    <mergeCell ref="E40:F40"/>
    <mergeCell ref="G40:H40"/>
    <mergeCell ref="G39:H39"/>
    <mergeCell ref="C41:E41"/>
    <mergeCell ref="C39:D39"/>
    <mergeCell ref="B1:H1"/>
    <mergeCell ref="B2:H3"/>
    <mergeCell ref="B14:H14"/>
    <mergeCell ref="E15:F15"/>
    <mergeCell ref="G15:H15"/>
    <mergeCell ref="D5:E5"/>
    <mergeCell ref="C15:D15"/>
    <mergeCell ref="G16:H16"/>
    <mergeCell ref="E19:F19"/>
    <mergeCell ref="G19:H19"/>
    <mergeCell ref="E17:F17"/>
    <mergeCell ref="G17:H17"/>
    <mergeCell ref="E18:F18"/>
    <mergeCell ref="G18:H18"/>
    <mergeCell ref="F48:G48"/>
    <mergeCell ref="F45:G45"/>
    <mergeCell ref="F47:G47"/>
    <mergeCell ref="F42:G42"/>
    <mergeCell ref="F43:G43"/>
    <mergeCell ref="F44:G44"/>
    <mergeCell ref="C40:D40"/>
    <mergeCell ref="C22:C23"/>
    <mergeCell ref="D22:D23"/>
    <mergeCell ref="N21:N22"/>
    <mergeCell ref="B21:H21"/>
    <mergeCell ref="O21:O22"/>
    <mergeCell ref="C37:D37"/>
    <mergeCell ref="C36:D36"/>
    <mergeCell ref="C38:D38"/>
    <mergeCell ref="G38:H38"/>
    <mergeCell ref="B35:H35"/>
    <mergeCell ref="E36:F36"/>
    <mergeCell ref="G36:H36"/>
    <mergeCell ref="E37:F37"/>
    <mergeCell ref="G37:H37"/>
    <mergeCell ref="B22:B23"/>
    <mergeCell ref="H22:H23"/>
    <mergeCell ref="E22:E23"/>
    <mergeCell ref="F22:G22"/>
  </mergeCells>
  <pageMargins left="0.19685039370078741" right="0.19685039370078741" top="0.16" bottom="0.23622047244094491" header="0.16" footer="0.25"/>
  <pageSetup paperSize="9" scale="47" orientation="portrait" horizontalDpi="180" verticalDpi="180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42578125" style="3" customWidth="1"/>
    <col min="3" max="3" width="21.85546875" style="78" customWidth="1"/>
    <col min="4" max="4" width="9" style="78" customWidth="1"/>
    <col min="5" max="5" width="10.28515625" style="78" customWidth="1"/>
    <col min="6" max="6" width="10.140625" style="3" customWidth="1"/>
    <col min="7" max="7" width="10.28515625" style="3" customWidth="1"/>
    <col min="8" max="8" width="11" style="3" customWidth="1"/>
    <col min="9" max="9" width="10.7109375" style="3" bestFit="1" customWidth="1"/>
    <col min="10" max="12" width="9.140625" style="3"/>
    <col min="13" max="13" width="17.7109375" style="185" customWidth="1"/>
    <col min="14" max="14" width="16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7.2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123</v>
      </c>
      <c r="E5" s="233"/>
    </row>
    <row r="6" spans="1:9">
      <c r="B6" s="8" t="s">
        <v>1</v>
      </c>
      <c r="C6" s="45"/>
      <c r="D6" s="217">
        <v>1961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8</v>
      </c>
      <c r="E8" s="217"/>
    </row>
    <row r="9" spans="1:9" ht="30.75" hidden="1" customHeight="1" outlineLevel="1">
      <c r="B9" s="111" t="s">
        <v>4</v>
      </c>
      <c r="C9" s="122"/>
      <c r="D9" s="217" t="s">
        <v>124</v>
      </c>
      <c r="E9" s="217"/>
    </row>
    <row r="10" spans="1:9" collapsed="1">
      <c r="B10" s="8" t="s">
        <v>5</v>
      </c>
      <c r="C10" s="45"/>
      <c r="D10" s="217" t="s">
        <v>247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/>
      <c r="E12" s="216"/>
      <c r="I12" s="14"/>
    </row>
    <row r="13" spans="1:9" ht="10.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6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849443.357468948</v>
      </c>
      <c r="D16" s="273"/>
      <c r="E16" s="263">
        <v>607430.64746894804</v>
      </c>
      <c r="F16" s="264"/>
      <c r="G16" s="263">
        <v>242012.71000000002</v>
      </c>
      <c r="H16" s="265"/>
      <c r="I16" s="14"/>
    </row>
    <row r="17" spans="2:15">
      <c r="B17" s="89" t="s">
        <v>15</v>
      </c>
      <c r="C17" s="235">
        <v>629356.81000000006</v>
      </c>
      <c r="D17" s="236"/>
      <c r="E17" s="235">
        <v>449726.46</v>
      </c>
      <c r="F17" s="236"/>
      <c r="G17" s="235">
        <v>179630.35</v>
      </c>
      <c r="H17" s="237"/>
      <c r="I17" s="14"/>
    </row>
    <row r="18" spans="2:15" ht="16.5" thickBot="1">
      <c r="B18" s="90" t="s">
        <v>176</v>
      </c>
      <c r="C18" s="235">
        <v>745458.82208476658</v>
      </c>
      <c r="D18" s="236"/>
      <c r="E18" s="260">
        <v>604872.82208476658</v>
      </c>
      <c r="F18" s="261"/>
      <c r="G18" s="260">
        <v>140586</v>
      </c>
      <c r="H18" s="262"/>
      <c r="I18" s="14"/>
    </row>
    <row r="19" spans="2:15" ht="36.75" thickBot="1">
      <c r="B19" s="92" t="s">
        <v>274</v>
      </c>
      <c r="C19" s="249">
        <f>E19+G19</f>
        <v>-116102.01208476655</v>
      </c>
      <c r="D19" s="250"/>
      <c r="E19" s="251">
        <f>E17-E18</f>
        <v>-155146.36208476656</v>
      </c>
      <c r="F19" s="252"/>
      <c r="G19" s="251">
        <f>G17-G18</f>
        <v>39044.350000000006</v>
      </c>
      <c r="H19" s="253"/>
      <c r="I19" s="14"/>
    </row>
    <row r="20" spans="2:15" ht="12" customHeight="1">
      <c r="B20" s="11"/>
      <c r="C20" s="76"/>
      <c r="D20" s="87"/>
      <c r="E20" s="216"/>
      <c r="I20" s="14"/>
    </row>
    <row r="21" spans="2:15" ht="17.25" customHeight="1" thickBot="1">
      <c r="B21" s="254" t="s">
        <v>302</v>
      </c>
      <c r="C21" s="254"/>
      <c r="D21" s="254"/>
      <c r="E21" s="254"/>
      <c r="F21" s="254"/>
      <c r="G21" s="254"/>
      <c r="H21" s="254"/>
      <c r="L21" s="14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4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83989.62</v>
      </c>
      <c r="N23" s="204">
        <f>M23</f>
        <v>83989.62</v>
      </c>
    </row>
    <row r="24" spans="2:15" ht="56.25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15451.560000000003</v>
      </c>
      <c r="G24" s="21">
        <f>$N$23/$N$24*E24</f>
        <v>15451.560000000003</v>
      </c>
      <c r="H24" s="22">
        <f>F24-G24</f>
        <v>0</v>
      </c>
      <c r="I24" s="57"/>
      <c r="J24" s="24"/>
      <c r="K24" s="24"/>
      <c r="L24" s="25"/>
      <c r="M24" s="205">
        <f>E33-E31</f>
        <v>18.589999999999996</v>
      </c>
      <c r="N24" s="205">
        <f>E33-E31</f>
        <v>18.589999999999996</v>
      </c>
      <c r="O24" s="24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17168.400000000001</v>
      </c>
      <c r="G25" s="4">
        <f>$N$23/$N$24*E25</f>
        <v>17168.400000000001</v>
      </c>
      <c r="H25" s="22">
        <f t="shared" ref="H25:H30" si="0">F25-G25</f>
        <v>0</v>
      </c>
      <c r="I25" s="58"/>
      <c r="J25" s="2"/>
      <c r="K25" s="2"/>
      <c r="L25" s="2"/>
      <c r="M25" s="186"/>
      <c r="N25" s="186"/>
      <c r="O25" s="2"/>
    </row>
    <row r="26" spans="2:15" ht="56.2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1581.3000000000002</v>
      </c>
      <c r="G26" s="4">
        <f t="shared" ref="G26:G29" si="2">$N$23/$N$24*E26</f>
        <v>1581.3000000000002</v>
      </c>
      <c r="H26" s="22">
        <f t="shared" si="0"/>
        <v>0</v>
      </c>
      <c r="I26" s="41"/>
      <c r="L26" s="14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ref="F27" si="3">$M$23/$M$24*E27</f>
        <v>2891.5200000000004</v>
      </c>
      <c r="G27" s="4">
        <f t="shared" ref="G27" si="4">$N$23/$N$24*E27</f>
        <v>2891.5200000000004</v>
      </c>
      <c r="H27" s="22">
        <f t="shared" si="0"/>
        <v>0</v>
      </c>
      <c r="I27" s="41"/>
      <c r="L27" s="14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si="1"/>
        <v>6867.3600000000015</v>
      </c>
      <c r="G28" s="4">
        <f t="shared" si="2"/>
        <v>6867.3600000000015</v>
      </c>
      <c r="H28" s="22">
        <f t="shared" si="0"/>
        <v>0</v>
      </c>
      <c r="I28" s="41"/>
    </row>
    <row r="29" spans="2:15" ht="226.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1"/>
        <v>32394.060000000005</v>
      </c>
      <c r="G29" s="4">
        <f t="shared" si="2"/>
        <v>32394.060000000005</v>
      </c>
      <c r="H29" s="22">
        <f t="shared" si="0"/>
        <v>0</v>
      </c>
      <c r="I29" s="58"/>
      <c r="J29" s="2"/>
      <c r="K29" s="2"/>
      <c r="L29" s="1"/>
      <c r="M29" s="186"/>
      <c r="N29" s="186"/>
    </row>
    <row r="30" spans="2:15" ht="107.25" customHeight="1">
      <c r="B30" s="26" t="s">
        <v>192</v>
      </c>
      <c r="C30" s="6" t="s">
        <v>205</v>
      </c>
      <c r="D30" s="19" t="s">
        <v>188</v>
      </c>
      <c r="E30" s="94">
        <v>0.4</v>
      </c>
      <c r="F30" s="20">
        <f t="shared" si="1"/>
        <v>1807.2000000000005</v>
      </c>
      <c r="G30" s="4">
        <f t="shared" ref="G30" si="5">$N$23/$N$24*E30</f>
        <v>1807.2000000000005</v>
      </c>
      <c r="H30" s="22">
        <f t="shared" si="0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21912.3</v>
      </c>
      <c r="G31" s="4">
        <v>21366</v>
      </c>
      <c r="H31" s="22">
        <f>F31-G31</f>
        <v>546.29999999999927</v>
      </c>
      <c r="I31" s="41"/>
      <c r="L31" s="14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1.29</v>
      </c>
      <c r="F32" s="20">
        <f t="shared" si="1"/>
        <v>5828.2200000000012</v>
      </c>
      <c r="G32" s="4">
        <f t="shared" ref="G32" si="6">$N$23/$N$24*E32</f>
        <v>5828.2200000000012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23.439999999999998</v>
      </c>
      <c r="F33" s="53">
        <f>SUM(F24:F32)</f>
        <v>105901.92000000001</v>
      </c>
      <c r="G33" s="54">
        <f>SUM(G24:G32)</f>
        <v>105355.62000000001</v>
      </c>
      <c r="H33" s="35">
        <f>SUM(H24:H32)</f>
        <v>546.29999999999927</v>
      </c>
      <c r="I33" s="59"/>
    </row>
    <row r="34" spans="2:15">
      <c r="B34" s="14"/>
      <c r="C34" s="14"/>
      <c r="D34" s="14"/>
      <c r="E34" s="82"/>
      <c r="F34" s="78"/>
      <c r="G34" s="82"/>
      <c r="H34" s="78"/>
      <c r="O34" s="78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0.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40"/>
      <c r="M36" s="187"/>
      <c r="N36" s="187"/>
    </row>
    <row r="37" spans="2:15">
      <c r="B37" s="88" t="s">
        <v>14</v>
      </c>
      <c r="C37" s="238">
        <f>E37+G37</f>
        <v>955345.27746894804</v>
      </c>
      <c r="D37" s="239"/>
      <c r="E37" s="263">
        <f>F24+F25+F26+F27+F28+F29+F30+F32+E16</f>
        <v>691420.26746894803</v>
      </c>
      <c r="F37" s="264"/>
      <c r="G37" s="263">
        <f>F31+G16</f>
        <v>263925.01</v>
      </c>
      <c r="H37" s="265"/>
      <c r="I37" s="73"/>
      <c r="J37" s="74"/>
      <c r="K37" s="7"/>
      <c r="L37" s="7"/>
      <c r="M37" s="188"/>
    </row>
    <row r="38" spans="2:15">
      <c r="B38" s="89" t="s">
        <v>15</v>
      </c>
      <c r="C38" s="235">
        <f>E38+G38</f>
        <v>696458.52</v>
      </c>
      <c r="D38" s="236"/>
      <c r="E38" s="235">
        <f>E17+53217.61</f>
        <v>502944.07</v>
      </c>
      <c r="F38" s="236"/>
      <c r="G38" s="235">
        <f>G17+13884.1</f>
        <v>193514.45</v>
      </c>
      <c r="H38" s="237"/>
      <c r="I38" s="73"/>
      <c r="J38" s="74"/>
      <c r="K38" s="9"/>
      <c r="L38" s="7"/>
      <c r="M38" s="188"/>
    </row>
    <row r="39" spans="2:15" ht="16.5" thickBot="1">
      <c r="B39" s="90" t="s">
        <v>176</v>
      </c>
      <c r="C39" s="269">
        <f>E39+G39</f>
        <v>850814.44208476658</v>
      </c>
      <c r="D39" s="270"/>
      <c r="E39" s="260">
        <f>G24+G25+G26+G27+G28+G29+G30+G32+E18</f>
        <v>688862.44208476658</v>
      </c>
      <c r="F39" s="261"/>
      <c r="G39" s="260">
        <f>G31+G18</f>
        <v>161952</v>
      </c>
      <c r="H39" s="262"/>
      <c r="I39" s="73"/>
      <c r="J39" s="74"/>
      <c r="K39" s="41"/>
      <c r="L39" s="41"/>
    </row>
    <row r="40" spans="2:15" ht="36.75" thickBot="1">
      <c r="B40" s="92" t="s">
        <v>275</v>
      </c>
      <c r="C40" s="249">
        <f>E40+G40</f>
        <v>-154355.92208476656</v>
      </c>
      <c r="D40" s="250"/>
      <c r="E40" s="251">
        <f>E38-E39</f>
        <v>-185918.37208476657</v>
      </c>
      <c r="F40" s="252"/>
      <c r="G40" s="251">
        <f>G38-G39</f>
        <v>31562.450000000012</v>
      </c>
      <c r="H40" s="253"/>
      <c r="I40" s="73"/>
      <c r="J40" s="74"/>
      <c r="K40" s="41"/>
      <c r="L40" s="41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2"/>
      <c r="M41" s="186"/>
      <c r="N41" s="186"/>
      <c r="O41" s="2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2"/>
      <c r="M42" s="186"/>
      <c r="N42" s="186"/>
      <c r="O42" s="2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2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0.5" customHeight="1">
      <c r="E48" s="220"/>
    </row>
  </sheetData>
  <mergeCells count="54">
    <mergeCell ref="G15:H15"/>
    <mergeCell ref="B35:H35"/>
    <mergeCell ref="E36:F36"/>
    <mergeCell ref="G36:H36"/>
    <mergeCell ref="E37:F37"/>
    <mergeCell ref="G37:H37"/>
    <mergeCell ref="C36:D36"/>
    <mergeCell ref="C37:D37"/>
    <mergeCell ref="E16:F16"/>
    <mergeCell ref="G16:H16"/>
    <mergeCell ref="E17:F17"/>
    <mergeCell ref="G17:H17"/>
    <mergeCell ref="E18:F18"/>
    <mergeCell ref="G18:H18"/>
    <mergeCell ref="E19:F19"/>
    <mergeCell ref="G19:H19"/>
    <mergeCell ref="F41:G41"/>
    <mergeCell ref="E40:F40"/>
    <mergeCell ref="E39:F39"/>
    <mergeCell ref="E38:F38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F47:G47"/>
    <mergeCell ref="F45:G45"/>
    <mergeCell ref="F43:G43"/>
    <mergeCell ref="F44:G44"/>
    <mergeCell ref="F42:G42"/>
    <mergeCell ref="C15:D15"/>
    <mergeCell ref="C16:D16"/>
    <mergeCell ref="C17:D17"/>
    <mergeCell ref="C18:D18"/>
    <mergeCell ref="C19:D19"/>
    <mergeCell ref="M21:M22"/>
    <mergeCell ref="N21:N22"/>
    <mergeCell ref="G38:H38"/>
    <mergeCell ref="G39:H39"/>
    <mergeCell ref="G40:H40"/>
    <mergeCell ref="C41:E41"/>
    <mergeCell ref="C43:E43"/>
    <mergeCell ref="C45:E45"/>
    <mergeCell ref="C47:E47"/>
    <mergeCell ref="C38:D38"/>
    <mergeCell ref="C39:D39"/>
    <mergeCell ref="C40:D40"/>
  </mergeCells>
  <printOptions horizontalCentered="1"/>
  <pageMargins left="0.19685039370078741" right="0.19685039370078741" top="0.15748031496062992" bottom="0.35433070866141736" header="0.31496062992125984" footer="0.23622047244094491"/>
  <pageSetup paperSize="9" scale="4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85546875" style="3" customWidth="1"/>
    <col min="3" max="3" width="22.42578125" style="78" customWidth="1"/>
    <col min="4" max="4" width="9.42578125" style="78" customWidth="1"/>
    <col min="5" max="5" width="10" style="78" customWidth="1"/>
    <col min="6" max="6" width="10.5703125" style="3" customWidth="1"/>
    <col min="7" max="7" width="12.28515625" style="3" customWidth="1"/>
    <col min="8" max="8" width="10.28515625" style="3" customWidth="1"/>
    <col min="9" max="9" width="10.7109375" style="3" bestFit="1" customWidth="1"/>
    <col min="10" max="12" width="9.140625" style="3"/>
    <col min="13" max="13" width="12.85546875" style="185" customWidth="1"/>
    <col min="14" max="14" width="13.28515625" style="185" customWidth="1"/>
    <col min="15" max="15" width="9.140625" style="125"/>
    <col min="16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4.2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126</v>
      </c>
      <c r="E5" s="233"/>
    </row>
    <row r="6" spans="1:9">
      <c r="B6" s="8" t="s">
        <v>1</v>
      </c>
      <c r="C6" s="45"/>
      <c r="D6" s="217">
        <v>1961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16</v>
      </c>
      <c r="E8" s="217"/>
    </row>
    <row r="9" spans="1:9" ht="30.75" hidden="1" customHeight="1" outlineLevel="1">
      <c r="B9" s="111" t="s">
        <v>4</v>
      </c>
      <c r="C9" s="122"/>
      <c r="D9" s="217" t="s">
        <v>127</v>
      </c>
      <c r="E9" s="217"/>
    </row>
    <row r="10" spans="1:9" collapsed="1">
      <c r="B10" s="8" t="s">
        <v>5</v>
      </c>
      <c r="C10" s="45"/>
      <c r="D10" s="217" t="s">
        <v>248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128</v>
      </c>
      <c r="E12" s="216"/>
      <c r="I12" s="14"/>
    </row>
    <row r="13" spans="1:9" ht="9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7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1441721.5776646081</v>
      </c>
      <c r="D16" s="273"/>
      <c r="E16" s="263">
        <v>1030966.0176646082</v>
      </c>
      <c r="F16" s="264"/>
      <c r="G16" s="263">
        <v>410755.56</v>
      </c>
      <c r="H16" s="265"/>
      <c r="I16" s="14"/>
    </row>
    <row r="17" spans="2:15">
      <c r="B17" s="89" t="s">
        <v>15</v>
      </c>
      <c r="C17" s="235">
        <v>1281729.2700000003</v>
      </c>
      <c r="D17" s="236"/>
      <c r="E17" s="235">
        <v>923471.41000000015</v>
      </c>
      <c r="F17" s="236"/>
      <c r="G17" s="235">
        <v>358257.86000000004</v>
      </c>
      <c r="H17" s="237"/>
      <c r="I17" s="14"/>
    </row>
    <row r="18" spans="2:15" ht="16.5" thickBot="1">
      <c r="B18" s="90" t="s">
        <v>176</v>
      </c>
      <c r="C18" s="235">
        <v>1394656.1497704978</v>
      </c>
      <c r="D18" s="236"/>
      <c r="E18" s="260">
        <v>1029061.3497704978</v>
      </c>
      <c r="F18" s="261"/>
      <c r="G18" s="260">
        <v>365594.8</v>
      </c>
      <c r="H18" s="262"/>
      <c r="I18" s="14"/>
    </row>
    <row r="19" spans="2:15" ht="30" customHeight="1" thickBot="1">
      <c r="B19" s="92" t="s">
        <v>274</v>
      </c>
      <c r="C19" s="249">
        <f>E19+G19</f>
        <v>-112926.87977049756</v>
      </c>
      <c r="D19" s="250"/>
      <c r="E19" s="251">
        <f>E17-E18</f>
        <v>-105589.93977049761</v>
      </c>
      <c r="F19" s="252"/>
      <c r="G19" s="251">
        <f>G17-G18</f>
        <v>-7336.9399999999441</v>
      </c>
      <c r="H19" s="253"/>
      <c r="I19" s="14"/>
    </row>
    <row r="20" spans="2:15">
      <c r="B20" s="11"/>
      <c r="C20" s="76"/>
      <c r="D20" s="87"/>
      <c r="E20" s="216"/>
      <c r="I20" s="14"/>
    </row>
    <row r="21" spans="2:15" ht="18" customHeight="1" thickBot="1">
      <c r="B21" s="254" t="s">
        <v>302</v>
      </c>
      <c r="C21" s="254"/>
      <c r="D21" s="254"/>
      <c r="E21" s="254"/>
      <c r="F21" s="254"/>
      <c r="G21" s="254"/>
      <c r="H21" s="254"/>
      <c r="L21" s="14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4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143174.75</v>
      </c>
      <c r="N23" s="204">
        <f>M23</f>
        <v>143174.75</v>
      </c>
    </row>
    <row r="24" spans="2:15" ht="56.25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26339.841043571818</v>
      </c>
      <c r="G24" s="21">
        <f>$N$23/$N$24*E24</f>
        <v>26339.841043571818</v>
      </c>
      <c r="H24" s="22">
        <f>F24-G24</f>
        <v>0</v>
      </c>
      <c r="I24" s="57"/>
      <c r="J24" s="24"/>
      <c r="K24" s="24"/>
      <c r="L24" s="25"/>
      <c r="M24" s="205">
        <f>E33-E31</f>
        <v>18.589999999999996</v>
      </c>
      <c r="N24" s="205">
        <f>E33-E31</f>
        <v>18.589999999999996</v>
      </c>
      <c r="O24" s="148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29266.490048413132</v>
      </c>
      <c r="G25" s="4">
        <f>$N$23/$N$24*E25</f>
        <v>29266.490048413132</v>
      </c>
      <c r="H25" s="22">
        <f t="shared" ref="H25:H30" si="0">F25-G25</f>
        <v>0</v>
      </c>
      <c r="I25" s="58"/>
      <c r="J25" s="2"/>
      <c r="K25" s="2"/>
      <c r="L25" s="2"/>
      <c r="M25" s="186"/>
      <c r="N25" s="186"/>
      <c r="O25" s="154"/>
    </row>
    <row r="26" spans="2:15" ht="56.2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2695.5977676169987</v>
      </c>
      <c r="G26" s="4">
        <f t="shared" ref="G26:G29" si="2">$N$23/$N$24*E26</f>
        <v>2695.5977676169987</v>
      </c>
      <c r="H26" s="22">
        <f t="shared" si="0"/>
        <v>0</v>
      </c>
      <c r="I26" s="41"/>
      <c r="L26" s="14"/>
    </row>
    <row r="27" spans="2:15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ref="F27" si="3">$M$23/$M$24*E27</f>
        <v>4929.0930607853697</v>
      </c>
      <c r="G27" s="4">
        <f t="shared" ref="G27" si="4">$N$23/$N$24*E27</f>
        <v>4929.0930607853697</v>
      </c>
      <c r="H27" s="22">
        <f t="shared" si="0"/>
        <v>0</v>
      </c>
      <c r="I27" s="41"/>
      <c r="L27" s="14"/>
    </row>
    <row r="28" spans="2:15" ht="51">
      <c r="B28" s="26" t="s">
        <v>179</v>
      </c>
      <c r="C28" s="29" t="s">
        <v>211</v>
      </c>
      <c r="D28" s="19" t="s">
        <v>188</v>
      </c>
      <c r="E28" s="94">
        <v>1.52</v>
      </c>
      <c r="F28" s="20">
        <f t="shared" si="1"/>
        <v>11706.596019365254</v>
      </c>
      <c r="G28" s="4">
        <f t="shared" si="2"/>
        <v>11706.596019365254</v>
      </c>
      <c r="H28" s="22">
        <f t="shared" si="0"/>
        <v>0</v>
      </c>
      <c r="I28" s="41"/>
    </row>
    <row r="29" spans="2:15" ht="212.25" customHeight="1">
      <c r="B29" s="26" t="s">
        <v>204</v>
      </c>
      <c r="C29" s="29" t="s">
        <v>191</v>
      </c>
      <c r="D29" s="19" t="s">
        <v>188</v>
      </c>
      <c r="E29" s="94">
        <v>7.17</v>
      </c>
      <c r="F29" s="20">
        <f t="shared" si="1"/>
        <v>55221.245696611091</v>
      </c>
      <c r="G29" s="4">
        <f t="shared" si="2"/>
        <v>55221.245696611091</v>
      </c>
      <c r="H29" s="22">
        <f t="shared" si="0"/>
        <v>0</v>
      </c>
      <c r="I29" s="58"/>
      <c r="J29" s="2"/>
      <c r="K29" s="2"/>
      <c r="L29" s="1"/>
      <c r="M29" s="186"/>
      <c r="N29" s="186"/>
    </row>
    <row r="30" spans="2:15" ht="123" customHeight="1">
      <c r="B30" s="26" t="s">
        <v>192</v>
      </c>
      <c r="C30" s="6" t="s">
        <v>205</v>
      </c>
      <c r="D30" s="19" t="s">
        <v>188</v>
      </c>
      <c r="E30" s="94">
        <v>0.4</v>
      </c>
      <c r="F30" s="20">
        <f t="shared" si="1"/>
        <v>3080.6831629908561</v>
      </c>
      <c r="G30" s="4">
        <f t="shared" ref="G30" si="5">$N$23/$N$24*E30</f>
        <v>3080.6831629908561</v>
      </c>
      <c r="H30" s="22">
        <f t="shared" si="0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4.8499999999999996</v>
      </c>
      <c r="F31" s="20">
        <v>37353.279999999999</v>
      </c>
      <c r="G31" s="4">
        <v>1918</v>
      </c>
      <c r="H31" s="22">
        <f>F31-G31</f>
        <v>35435.279999999999</v>
      </c>
      <c r="I31" s="41"/>
      <c r="L31" s="14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1.29</v>
      </c>
      <c r="F32" s="20">
        <f t="shared" si="1"/>
        <v>9935.2032006455102</v>
      </c>
      <c r="G32" s="4">
        <f t="shared" ref="G32" si="6">$N$23/$N$24*E32</f>
        <v>9935.2032006455102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23.439999999999998</v>
      </c>
      <c r="F33" s="53">
        <f>SUM(F24:F32)</f>
        <v>180528.03000000003</v>
      </c>
      <c r="G33" s="54">
        <f>SUM(G24:G32)</f>
        <v>145092.75000000003</v>
      </c>
      <c r="H33" s="35">
        <f>SUM(H24:H32)</f>
        <v>35435.279999999999</v>
      </c>
      <c r="I33" s="59"/>
    </row>
    <row r="34" spans="2:15">
      <c r="B34" s="14"/>
      <c r="C34" s="14"/>
      <c r="D34" s="14"/>
      <c r="E34" s="82"/>
      <c r="F34" s="78"/>
      <c r="G34" s="82"/>
      <c r="H34" s="78"/>
      <c r="O34" s="132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39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40"/>
      <c r="M36" s="187"/>
      <c r="N36" s="187"/>
    </row>
    <row r="37" spans="2:15">
      <c r="B37" s="88" t="s">
        <v>14</v>
      </c>
      <c r="C37" s="238">
        <f>E37+G37</f>
        <v>1622249.6076646084</v>
      </c>
      <c r="D37" s="239"/>
      <c r="E37" s="263">
        <f>F24+F25+F26+F27+F28+F29+F30+F32+E16</f>
        <v>1174140.7676646083</v>
      </c>
      <c r="F37" s="264"/>
      <c r="G37" s="263">
        <f>F31+G16</f>
        <v>448108.83999999997</v>
      </c>
      <c r="H37" s="265"/>
      <c r="I37" s="73"/>
      <c r="J37" s="74"/>
      <c r="K37" s="7"/>
      <c r="L37" s="7"/>
      <c r="M37" s="188"/>
    </row>
    <row r="38" spans="2:15">
      <c r="B38" s="89" t="s">
        <v>15</v>
      </c>
      <c r="C38" s="235">
        <f>E38+G38</f>
        <v>1439061.6400000001</v>
      </c>
      <c r="D38" s="236"/>
      <c r="E38" s="235">
        <f>E17+124778.53</f>
        <v>1048249.9400000002</v>
      </c>
      <c r="F38" s="236"/>
      <c r="G38" s="235">
        <f>G17+32553.84</f>
        <v>390811.70000000007</v>
      </c>
      <c r="H38" s="237"/>
      <c r="I38" s="73"/>
      <c r="J38" s="74"/>
      <c r="K38" s="9"/>
      <c r="L38" s="7"/>
      <c r="M38" s="188"/>
    </row>
    <row r="39" spans="2:15" ht="16.5" thickBot="1">
      <c r="B39" s="90" t="s">
        <v>176</v>
      </c>
      <c r="C39" s="269">
        <f>E39+G39</f>
        <v>1539748.8997704978</v>
      </c>
      <c r="D39" s="270"/>
      <c r="E39" s="260">
        <f>G24+G25+G26+G27+G28+G29+G30+G32+E18</f>
        <v>1172236.0997704978</v>
      </c>
      <c r="F39" s="261"/>
      <c r="G39" s="260">
        <f>G31+G18</f>
        <v>367512.8</v>
      </c>
      <c r="H39" s="262"/>
      <c r="I39" s="73"/>
      <c r="J39" s="74"/>
      <c r="K39" s="41"/>
      <c r="L39" s="41"/>
    </row>
    <row r="40" spans="2:15" ht="32.25" customHeight="1" thickBot="1">
      <c r="B40" s="92" t="s">
        <v>275</v>
      </c>
      <c r="C40" s="249">
        <f>E40+G40</f>
        <v>-100687.25977049751</v>
      </c>
      <c r="D40" s="250"/>
      <c r="E40" s="251">
        <f>E38-E39</f>
        <v>-123986.15977049759</v>
      </c>
      <c r="F40" s="252"/>
      <c r="G40" s="251">
        <f>G38-G39</f>
        <v>23298.900000000081</v>
      </c>
      <c r="H40" s="253"/>
      <c r="I40" s="73"/>
      <c r="J40" s="74"/>
      <c r="K40" s="41"/>
      <c r="L40" s="41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2"/>
      <c r="M41" s="186"/>
      <c r="N41" s="186"/>
      <c r="O41" s="154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2"/>
      <c r="M42" s="186"/>
      <c r="N42" s="186"/>
      <c r="O42" s="154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2"/>
      <c r="M43" s="186"/>
      <c r="N43" s="186"/>
      <c r="O43" s="154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9.75" customHeight="1">
      <c r="E48" s="220"/>
    </row>
  </sheetData>
  <mergeCells count="54">
    <mergeCell ref="F47:G47"/>
    <mergeCell ref="G40:H40"/>
    <mergeCell ref="E40:F40"/>
    <mergeCell ref="F41:G41"/>
    <mergeCell ref="F42:G42"/>
    <mergeCell ref="F44:G44"/>
    <mergeCell ref="F45:G45"/>
    <mergeCell ref="F43:G43"/>
    <mergeCell ref="C41:E41"/>
    <mergeCell ref="C43:E43"/>
    <mergeCell ref="C45:E45"/>
    <mergeCell ref="C47:E47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6:F16"/>
    <mergeCell ref="G16:H16"/>
    <mergeCell ref="E17:F17"/>
    <mergeCell ref="G17:H17"/>
    <mergeCell ref="C39:D39"/>
    <mergeCell ref="C40:D40"/>
    <mergeCell ref="C15:D15"/>
    <mergeCell ref="C16:D16"/>
    <mergeCell ref="C17:D17"/>
    <mergeCell ref="C18:D18"/>
    <mergeCell ref="C19:D19"/>
    <mergeCell ref="B35:H35"/>
    <mergeCell ref="E39:F39"/>
    <mergeCell ref="G39:H39"/>
    <mergeCell ref="E18:F18"/>
    <mergeCell ref="G18:H18"/>
    <mergeCell ref="E19:F19"/>
    <mergeCell ref="G19:H19"/>
    <mergeCell ref="E36:F36"/>
    <mergeCell ref="M21:M22"/>
    <mergeCell ref="N21:N22"/>
    <mergeCell ref="C36:D36"/>
    <mergeCell ref="C37:D37"/>
    <mergeCell ref="C38:D38"/>
    <mergeCell ref="G36:H36"/>
    <mergeCell ref="E37:F37"/>
    <mergeCell ref="G37:H37"/>
    <mergeCell ref="E38:F38"/>
    <mergeCell ref="G38:H38"/>
  </mergeCells>
  <printOptions horizontalCentered="1"/>
  <pageMargins left="0.19685039370078741" right="0.27559055118110237" top="0.15748031496062992" bottom="0.27559055118110237" header="0.31496062992125984" footer="0.23622047244094491"/>
  <pageSetup paperSize="9" scale="4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140625" style="3" customWidth="1"/>
    <col min="3" max="3" width="21.42578125" style="78" customWidth="1"/>
    <col min="4" max="4" width="9.42578125" style="78" customWidth="1"/>
    <col min="5" max="5" width="10.28515625" style="78" customWidth="1"/>
    <col min="6" max="6" width="9.7109375" style="3" customWidth="1"/>
    <col min="7" max="7" width="10.42578125" style="3" customWidth="1"/>
    <col min="8" max="8" width="10.28515625" style="3" customWidth="1"/>
    <col min="9" max="9" width="10.7109375" style="3" bestFit="1" customWidth="1"/>
    <col min="10" max="10" width="9.140625" style="3"/>
    <col min="11" max="11" width="12" style="3" customWidth="1"/>
    <col min="12" max="12" width="12" style="125" customWidth="1"/>
    <col min="13" max="13" width="13.140625" style="185" customWidth="1"/>
    <col min="14" max="14" width="13.4257812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129</v>
      </c>
      <c r="E5" s="233"/>
    </row>
    <row r="6" spans="1:9">
      <c r="B6" s="8" t="s">
        <v>1</v>
      </c>
      <c r="C6" s="45"/>
      <c r="D6" s="217">
        <v>1950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8</v>
      </c>
      <c r="E8" s="217"/>
    </row>
    <row r="9" spans="1:9" ht="30.75" hidden="1" customHeight="1" outlineLevel="1">
      <c r="B9" s="111" t="s">
        <v>4</v>
      </c>
      <c r="C9" s="122"/>
      <c r="D9" s="217" t="s">
        <v>130</v>
      </c>
      <c r="E9" s="217"/>
    </row>
    <row r="10" spans="1:9" collapsed="1">
      <c r="B10" s="8" t="s">
        <v>5</v>
      </c>
      <c r="C10" s="45"/>
      <c r="D10" s="217" t="s">
        <v>249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125</v>
      </c>
      <c r="E12" s="216"/>
      <c r="I12" s="14"/>
    </row>
    <row r="13" spans="1:9" ht="8.2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8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827556.28</v>
      </c>
      <c r="D16" s="239"/>
      <c r="E16" s="238">
        <v>671627.88</v>
      </c>
      <c r="F16" s="239"/>
      <c r="G16" s="238">
        <v>155928.40000000002</v>
      </c>
      <c r="H16" s="240"/>
      <c r="I16" s="14"/>
    </row>
    <row r="17" spans="2:15">
      <c r="B17" s="89" t="s">
        <v>15</v>
      </c>
      <c r="C17" s="235">
        <v>825340.84</v>
      </c>
      <c r="D17" s="236"/>
      <c r="E17" s="235">
        <v>669904.36</v>
      </c>
      <c r="F17" s="236"/>
      <c r="G17" s="235">
        <v>155436.48000000001</v>
      </c>
      <c r="H17" s="237"/>
      <c r="I17" s="14"/>
    </row>
    <row r="18" spans="2:15" ht="16.5" thickBot="1">
      <c r="B18" s="90" t="s">
        <v>176</v>
      </c>
      <c r="C18" s="269">
        <v>984085.04729999998</v>
      </c>
      <c r="D18" s="270"/>
      <c r="E18" s="269">
        <v>673982.04729999998</v>
      </c>
      <c r="F18" s="270"/>
      <c r="G18" s="269">
        <v>310103</v>
      </c>
      <c r="H18" s="271"/>
      <c r="I18" s="14"/>
    </row>
    <row r="19" spans="2:15" ht="32.25" customHeight="1" thickBot="1">
      <c r="B19" s="92" t="s">
        <v>274</v>
      </c>
      <c r="C19" s="249">
        <f>E19+G19</f>
        <v>-158744.20729999998</v>
      </c>
      <c r="D19" s="250"/>
      <c r="E19" s="251">
        <f>E17-E18</f>
        <v>-4077.6872999999905</v>
      </c>
      <c r="F19" s="252"/>
      <c r="G19" s="251">
        <f>G17-G18</f>
        <v>-154666.51999999999</v>
      </c>
      <c r="H19" s="253"/>
      <c r="I19" s="14"/>
    </row>
    <row r="20" spans="2:15">
      <c r="B20" s="11"/>
      <c r="C20" s="76"/>
      <c r="D20" s="87"/>
      <c r="E20" s="216"/>
      <c r="I20" s="14"/>
    </row>
    <row r="21" spans="2:15" ht="18.75" customHeight="1" thickBot="1">
      <c r="B21" s="254" t="s">
        <v>302</v>
      </c>
      <c r="C21" s="254"/>
      <c r="D21" s="254"/>
      <c r="E21" s="254"/>
      <c r="F21" s="254"/>
      <c r="G21" s="254"/>
      <c r="H21" s="254"/>
      <c r="L21" s="131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31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91072.77</v>
      </c>
      <c r="N23" s="204">
        <f>M23</f>
        <v>91072.77</v>
      </c>
    </row>
    <row r="24" spans="2:15" ht="56.25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18119.189842931941</v>
      </c>
      <c r="G24" s="21">
        <f>$N$23/$N$24*E24</f>
        <v>18119.189842931941</v>
      </c>
      <c r="H24" s="22">
        <f>F24-G24</f>
        <v>0</v>
      </c>
      <c r="I24" s="57"/>
      <c r="J24" s="24"/>
      <c r="K24" s="24"/>
      <c r="L24" s="149"/>
      <c r="M24" s="205">
        <f>E33-E31</f>
        <v>17.189999999999998</v>
      </c>
      <c r="N24" s="205">
        <f>E33-E31</f>
        <v>17.189999999999998</v>
      </c>
      <c r="O24" s="24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20132.433158813266</v>
      </c>
      <c r="G25" s="4">
        <f>$N$23/$N$24*E25</f>
        <v>20132.433158813266</v>
      </c>
      <c r="H25" s="22">
        <f t="shared" ref="H25:H30" si="0">F25-G25</f>
        <v>0</v>
      </c>
      <c r="I25" s="58"/>
      <c r="J25" s="2"/>
      <c r="K25" s="2"/>
      <c r="L25" s="154"/>
      <c r="M25" s="186"/>
      <c r="N25" s="186"/>
      <c r="O25" s="2"/>
    </row>
    <row r="26" spans="2:15" ht="56.2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1854.303054101222</v>
      </c>
      <c r="G26" s="4">
        <f t="shared" ref="G26:G29" si="2">$N$23/$N$24*E26</f>
        <v>1854.303054101222</v>
      </c>
      <c r="H26" s="22">
        <f t="shared" si="0"/>
        <v>0</v>
      </c>
      <c r="I26" s="41"/>
      <c r="L26" s="131"/>
    </row>
    <row r="27" spans="2:15" ht="25.5">
      <c r="B27" s="27" t="s">
        <v>172</v>
      </c>
      <c r="C27" s="28" t="s">
        <v>190</v>
      </c>
      <c r="D27" s="19" t="s">
        <v>188</v>
      </c>
      <c r="E27" s="94">
        <v>0</v>
      </c>
      <c r="F27" s="20">
        <f t="shared" si="1"/>
        <v>0</v>
      </c>
      <c r="G27" s="4">
        <f t="shared" si="2"/>
        <v>0</v>
      </c>
      <c r="H27" s="22">
        <f t="shared" si="0"/>
        <v>0</v>
      </c>
      <c r="I27" s="41"/>
      <c r="L27" s="131"/>
    </row>
    <row r="28" spans="2:15" ht="51">
      <c r="B28" s="26" t="s">
        <v>179</v>
      </c>
      <c r="C28" s="29" t="s">
        <v>211</v>
      </c>
      <c r="D28" s="19" t="s">
        <v>188</v>
      </c>
      <c r="E28" s="94">
        <v>1.89</v>
      </c>
      <c r="F28" s="20">
        <f t="shared" si="1"/>
        <v>10013.236492146598</v>
      </c>
      <c r="G28" s="4">
        <f t="shared" si="2"/>
        <v>10013.236492146598</v>
      </c>
      <c r="H28" s="22">
        <f t="shared" si="0"/>
        <v>0</v>
      </c>
      <c r="I28" s="41"/>
    </row>
    <row r="29" spans="2:15" ht="233.25" customHeight="1">
      <c r="B29" s="26" t="s">
        <v>204</v>
      </c>
      <c r="C29" s="29" t="s">
        <v>191</v>
      </c>
      <c r="D29" s="19" t="s">
        <v>188</v>
      </c>
      <c r="E29" s="94">
        <v>6.48</v>
      </c>
      <c r="F29" s="20">
        <f t="shared" si="1"/>
        <v>34331.09654450263</v>
      </c>
      <c r="G29" s="4">
        <f t="shared" si="2"/>
        <v>34331.09654450263</v>
      </c>
      <c r="H29" s="22">
        <f t="shared" si="0"/>
        <v>0</v>
      </c>
      <c r="I29" s="58"/>
      <c r="J29" s="2"/>
      <c r="K29" s="2"/>
      <c r="L29" s="159"/>
      <c r="M29" s="186"/>
      <c r="N29" s="186"/>
    </row>
    <row r="30" spans="2:15" ht="123" customHeight="1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1"/>
        <v>1589.4026178010474</v>
      </c>
      <c r="G30" s="4">
        <f t="shared" ref="G30" si="3">$N$23/$N$24*E30</f>
        <v>1589.4026178010474</v>
      </c>
      <c r="H30" s="22">
        <f t="shared" si="0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4</v>
      </c>
      <c r="F31" s="20">
        <v>21192.03</v>
      </c>
      <c r="G31" s="4">
        <v>66776</v>
      </c>
      <c r="H31" s="22">
        <f>F31-G31</f>
        <v>-45583.97</v>
      </c>
      <c r="I31" s="41"/>
      <c r="L31" s="131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0.95</v>
      </c>
      <c r="F32" s="20">
        <f t="shared" si="1"/>
        <v>5033.1082897033166</v>
      </c>
      <c r="G32" s="4">
        <f t="shared" ref="G32" si="4">$N$23/$N$24*E32</f>
        <v>5033.1082897033166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21.189999999999998</v>
      </c>
      <c r="F33" s="53">
        <f>SUM(F24:F32)</f>
        <v>112264.80000000003</v>
      </c>
      <c r="G33" s="54">
        <f>SUM(G24:G32)</f>
        <v>157848.77000000002</v>
      </c>
      <c r="H33" s="35">
        <f>SUM(H24:H32)</f>
        <v>-45583.97</v>
      </c>
      <c r="I33" s="59"/>
    </row>
    <row r="34" spans="2:15">
      <c r="B34" s="14"/>
      <c r="C34" s="14"/>
      <c r="D34" s="14"/>
      <c r="E34" s="82"/>
      <c r="F34" s="78"/>
      <c r="G34" s="82"/>
      <c r="H34" s="78"/>
      <c r="O34" s="78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2.7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176"/>
      <c r="M36" s="187"/>
      <c r="N36" s="187"/>
    </row>
    <row r="37" spans="2:15">
      <c r="B37" s="88" t="s">
        <v>14</v>
      </c>
      <c r="C37" s="238">
        <f>E37+G37</f>
        <v>939821.08000000007</v>
      </c>
      <c r="D37" s="239"/>
      <c r="E37" s="263">
        <f>F24+F25+F26+F27+F28+F29+F30+F32+E16</f>
        <v>762700.65</v>
      </c>
      <c r="F37" s="264"/>
      <c r="G37" s="263">
        <f>F31+G16</f>
        <v>177120.43000000002</v>
      </c>
      <c r="H37" s="265"/>
      <c r="I37" s="73"/>
      <c r="J37" s="74"/>
      <c r="K37" s="7"/>
      <c r="L37" s="179"/>
      <c r="M37" s="188"/>
    </row>
    <row r="38" spans="2:15">
      <c r="B38" s="89" t="s">
        <v>15</v>
      </c>
      <c r="C38" s="235">
        <f>E38+G38</f>
        <v>937155.96</v>
      </c>
      <c r="D38" s="236"/>
      <c r="E38" s="235">
        <f>E17+90707.97</f>
        <v>760612.33</v>
      </c>
      <c r="F38" s="236"/>
      <c r="G38" s="235">
        <f>G17+21107.15</f>
        <v>176543.63</v>
      </c>
      <c r="H38" s="237"/>
      <c r="I38" s="73"/>
      <c r="J38" s="74"/>
      <c r="K38" s="9"/>
      <c r="L38" s="179"/>
      <c r="M38" s="188"/>
    </row>
    <row r="39" spans="2:15" ht="16.5" thickBot="1">
      <c r="B39" s="90" t="s">
        <v>176</v>
      </c>
      <c r="C39" s="269">
        <f>E39+G39</f>
        <v>1141933.8173</v>
      </c>
      <c r="D39" s="270"/>
      <c r="E39" s="260">
        <f>G24+G25+G26+G27+G28+G29+G30+G32+E18</f>
        <v>765054.8173</v>
      </c>
      <c r="F39" s="261"/>
      <c r="G39" s="260">
        <f>G31+G18</f>
        <v>376879</v>
      </c>
      <c r="H39" s="262"/>
      <c r="I39" s="73"/>
      <c r="J39" s="74"/>
      <c r="K39" s="41"/>
      <c r="L39" s="156"/>
    </row>
    <row r="40" spans="2:15" ht="36.75" thickBot="1">
      <c r="B40" s="92" t="s">
        <v>275</v>
      </c>
      <c r="C40" s="249">
        <f>E40+G40</f>
        <v>-204777.85730000003</v>
      </c>
      <c r="D40" s="250"/>
      <c r="E40" s="251">
        <f>E38-E39</f>
        <v>-4442.4873000000371</v>
      </c>
      <c r="F40" s="252"/>
      <c r="G40" s="251">
        <f>G38-G39</f>
        <v>-200335.37</v>
      </c>
      <c r="H40" s="253"/>
      <c r="I40" s="73"/>
      <c r="J40" s="74"/>
      <c r="K40" s="41"/>
      <c r="L40" s="156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154"/>
      <c r="M41" s="186"/>
      <c r="N41" s="186"/>
      <c r="O41" s="2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154"/>
      <c r="M42" s="186"/>
      <c r="N42" s="186"/>
      <c r="O42" s="2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154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9.75" customHeight="1">
      <c r="E48" s="220"/>
    </row>
  </sheetData>
  <mergeCells count="54">
    <mergeCell ref="F47:G47"/>
    <mergeCell ref="F45:G45"/>
    <mergeCell ref="E19:F19"/>
    <mergeCell ref="G19:H19"/>
    <mergeCell ref="F41:G41"/>
    <mergeCell ref="F43:G43"/>
    <mergeCell ref="F44:G44"/>
    <mergeCell ref="F42:G42"/>
    <mergeCell ref="G36:H36"/>
    <mergeCell ref="E37:F37"/>
    <mergeCell ref="E36:F36"/>
    <mergeCell ref="C41:E41"/>
    <mergeCell ref="C43:E43"/>
    <mergeCell ref="C45:E45"/>
    <mergeCell ref="C47:E47"/>
    <mergeCell ref="C19:D19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B14:H14"/>
    <mergeCell ref="E15:F15"/>
    <mergeCell ref="G15:H15"/>
    <mergeCell ref="E16:F16"/>
    <mergeCell ref="D5:E5"/>
    <mergeCell ref="G16:H16"/>
    <mergeCell ref="E17:F17"/>
    <mergeCell ref="G17:H17"/>
    <mergeCell ref="E18:F18"/>
    <mergeCell ref="G18:H18"/>
    <mergeCell ref="C15:D15"/>
    <mergeCell ref="C16:D16"/>
    <mergeCell ref="C17:D17"/>
    <mergeCell ref="C18:D18"/>
    <mergeCell ref="C39:D39"/>
    <mergeCell ref="C40:D40"/>
    <mergeCell ref="M21:M22"/>
    <mergeCell ref="N21:N22"/>
    <mergeCell ref="C36:D36"/>
    <mergeCell ref="C37:D37"/>
    <mergeCell ref="C38:D38"/>
    <mergeCell ref="E39:F39"/>
    <mergeCell ref="G39:H39"/>
    <mergeCell ref="E40:F40"/>
    <mergeCell ref="G40:H40"/>
    <mergeCell ref="B35:H35"/>
    <mergeCell ref="G37:H37"/>
    <mergeCell ref="E38:F38"/>
    <mergeCell ref="G38:H38"/>
  </mergeCells>
  <printOptions horizontalCentered="1"/>
  <pageMargins left="0.19685039370078741" right="0.23622047244094491" top="0.15748031496062992" bottom="0.31496062992125984" header="0.31496062992125984" footer="0.31496062992125984"/>
  <pageSetup paperSize="9" scale="4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125" customWidth="1"/>
    <col min="2" max="2" width="56.7109375" style="125" customWidth="1"/>
    <col min="3" max="3" width="21.42578125" style="132" customWidth="1"/>
    <col min="4" max="4" width="8.42578125" style="132" customWidth="1"/>
    <col min="5" max="5" width="10.28515625" style="132" customWidth="1"/>
    <col min="6" max="6" width="10.7109375" style="125" customWidth="1"/>
    <col min="7" max="7" width="10.28515625" style="125" customWidth="1"/>
    <col min="8" max="8" width="10.42578125" style="125" customWidth="1"/>
    <col min="9" max="9" width="10.7109375" style="125" bestFit="1" customWidth="1"/>
    <col min="10" max="12" width="9.140625" style="125"/>
    <col min="13" max="13" width="13.85546875" style="185" customWidth="1"/>
    <col min="14" max="14" width="13.7109375" style="185" customWidth="1"/>
    <col min="15" max="16384" width="9.140625" style="125"/>
  </cols>
  <sheetData>
    <row r="1" spans="1:9">
      <c r="B1" s="317" t="s">
        <v>196</v>
      </c>
      <c r="C1" s="317"/>
      <c r="D1" s="317"/>
      <c r="E1" s="317"/>
      <c r="F1" s="317"/>
      <c r="G1" s="317"/>
      <c r="H1" s="317"/>
    </row>
    <row r="2" spans="1:9" ht="15.75" customHeight="1">
      <c r="A2" s="126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126"/>
      <c r="B3" s="231"/>
      <c r="C3" s="231"/>
      <c r="D3" s="231"/>
      <c r="E3" s="231"/>
      <c r="F3" s="231"/>
      <c r="G3" s="231"/>
      <c r="H3" s="231"/>
    </row>
    <row r="4" spans="1:9" ht="13.5" customHeight="1">
      <c r="A4" s="126"/>
      <c r="B4" s="126"/>
      <c r="C4" s="126"/>
      <c r="D4" s="126"/>
      <c r="E4" s="126"/>
      <c r="F4" s="126"/>
      <c r="G4" s="126"/>
    </row>
    <row r="5" spans="1:9">
      <c r="B5" s="127" t="s">
        <v>0</v>
      </c>
      <c r="C5" s="128"/>
      <c r="D5" s="318" t="s">
        <v>131</v>
      </c>
      <c r="E5" s="318"/>
    </row>
    <row r="6" spans="1:9">
      <c r="B6" s="127" t="s">
        <v>1</v>
      </c>
      <c r="C6" s="128"/>
      <c r="D6" s="223">
        <v>1957</v>
      </c>
      <c r="E6" s="223"/>
    </row>
    <row r="7" spans="1:9" hidden="1" outlineLevel="1">
      <c r="B7" s="127" t="s">
        <v>2</v>
      </c>
      <c r="C7" s="128"/>
      <c r="D7" s="223">
        <v>2</v>
      </c>
      <c r="E7" s="223"/>
    </row>
    <row r="8" spans="1:9" hidden="1" outlineLevel="1">
      <c r="B8" s="127" t="s">
        <v>3</v>
      </c>
      <c r="C8" s="128"/>
      <c r="D8" s="223">
        <v>8</v>
      </c>
      <c r="E8" s="223"/>
    </row>
    <row r="9" spans="1:9" ht="30.75" hidden="1" customHeight="1" outlineLevel="1">
      <c r="B9" s="129" t="s">
        <v>4</v>
      </c>
      <c r="C9" s="130"/>
      <c r="D9" s="223" t="s">
        <v>87</v>
      </c>
      <c r="E9" s="223"/>
    </row>
    <row r="10" spans="1:9" collapsed="1">
      <c r="B10" s="127" t="s">
        <v>5</v>
      </c>
      <c r="C10" s="128"/>
      <c r="D10" s="223" t="s">
        <v>250</v>
      </c>
      <c r="E10" s="223"/>
      <c r="I10" s="131"/>
    </row>
    <row r="11" spans="1:9" hidden="1" outlineLevel="1">
      <c r="B11" s="125" t="s">
        <v>6</v>
      </c>
      <c r="D11" s="133" t="s">
        <v>12</v>
      </c>
      <c r="E11" s="133"/>
    </row>
    <row r="12" spans="1:9" ht="30.75" hidden="1" customHeight="1" outlineLevel="1">
      <c r="B12" s="134" t="s">
        <v>7</v>
      </c>
      <c r="C12" s="135"/>
      <c r="D12" s="136" t="s">
        <v>88</v>
      </c>
      <c r="E12" s="133"/>
      <c r="I12" s="131"/>
    </row>
    <row r="13" spans="1:9" ht="11.25" customHeight="1" collapsed="1">
      <c r="B13" s="134"/>
      <c r="C13" s="135"/>
      <c r="D13" s="136"/>
      <c r="E13" s="133"/>
      <c r="I13" s="131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31"/>
    </row>
    <row r="15" spans="1:9" ht="42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31"/>
    </row>
    <row r="16" spans="1:9">
      <c r="B16" s="137" t="s">
        <v>14</v>
      </c>
      <c r="C16" s="302">
        <v>909184.90999999992</v>
      </c>
      <c r="D16" s="303"/>
      <c r="E16" s="302">
        <v>672212.33</v>
      </c>
      <c r="F16" s="303"/>
      <c r="G16" s="302">
        <v>236972.58000000002</v>
      </c>
      <c r="H16" s="316"/>
      <c r="I16" s="131"/>
    </row>
    <row r="17" spans="2:15">
      <c r="B17" s="138" t="s">
        <v>15</v>
      </c>
      <c r="C17" s="304">
        <v>929404.42</v>
      </c>
      <c r="D17" s="305"/>
      <c r="E17" s="304">
        <v>690765.37</v>
      </c>
      <c r="F17" s="305"/>
      <c r="G17" s="304">
        <v>238639.05000000002</v>
      </c>
      <c r="H17" s="308"/>
      <c r="I17" s="131"/>
    </row>
    <row r="18" spans="2:15" ht="16.5" thickBot="1">
      <c r="B18" s="139" t="s">
        <v>176</v>
      </c>
      <c r="C18" s="310">
        <v>941650.3162</v>
      </c>
      <c r="D18" s="311"/>
      <c r="E18" s="310">
        <v>676791.3162</v>
      </c>
      <c r="F18" s="311"/>
      <c r="G18" s="310">
        <v>264859</v>
      </c>
      <c r="H18" s="319"/>
      <c r="I18" s="131"/>
    </row>
    <row r="19" spans="2:15" ht="30.75" customHeight="1" thickBot="1">
      <c r="B19" s="140" t="s">
        <v>285</v>
      </c>
      <c r="C19" s="312">
        <f>E19+G19</f>
        <v>-12245.896199999988</v>
      </c>
      <c r="D19" s="313"/>
      <c r="E19" s="314">
        <f>E17-E18</f>
        <v>13974.053799999994</v>
      </c>
      <c r="F19" s="320"/>
      <c r="G19" s="314">
        <f>G17-G18</f>
        <v>-26219.949999999983</v>
      </c>
      <c r="H19" s="315"/>
      <c r="I19" s="131"/>
    </row>
    <row r="20" spans="2:15">
      <c r="B20" s="134"/>
      <c r="C20" s="135"/>
      <c r="D20" s="136"/>
      <c r="E20" s="133"/>
      <c r="I20" s="131"/>
    </row>
    <row r="21" spans="2:15" ht="20.25" customHeight="1" thickBot="1">
      <c r="B21" s="254" t="s">
        <v>302</v>
      </c>
      <c r="C21" s="254"/>
      <c r="D21" s="254"/>
      <c r="E21" s="254"/>
      <c r="F21" s="254"/>
      <c r="G21" s="254"/>
      <c r="H21" s="254"/>
      <c r="L21" s="131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31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98017.45</v>
      </c>
      <c r="N23" s="204">
        <f>M23</f>
        <v>98017.45</v>
      </c>
    </row>
    <row r="24" spans="2:15" ht="56.25">
      <c r="B24" s="141" t="s">
        <v>286</v>
      </c>
      <c r="C24" s="6" t="s">
        <v>205</v>
      </c>
      <c r="D24" s="142" t="s">
        <v>188</v>
      </c>
      <c r="E24" s="143">
        <v>3.42</v>
      </c>
      <c r="F24" s="144">
        <f>$M$23/$M$24*E24</f>
        <v>17954.990840921262</v>
      </c>
      <c r="G24" s="145">
        <f>$N$23/$N$24*E24</f>
        <v>17954.990840921262</v>
      </c>
      <c r="H24" s="146">
        <f>F24-G24</f>
        <v>0</v>
      </c>
      <c r="I24" s="147"/>
      <c r="J24" s="148"/>
      <c r="K24" s="148"/>
      <c r="L24" s="149"/>
      <c r="M24" s="205">
        <f>E33-E31</f>
        <v>18.670000000000002</v>
      </c>
      <c r="N24" s="205">
        <f>E33-E31</f>
        <v>18.670000000000002</v>
      </c>
      <c r="O24" s="148"/>
    </row>
    <row r="25" spans="2:15" ht="56.25">
      <c r="B25" s="150" t="s">
        <v>287</v>
      </c>
      <c r="C25" s="6" t="s">
        <v>205</v>
      </c>
      <c r="D25" s="142" t="s">
        <v>188</v>
      </c>
      <c r="E25" s="151">
        <v>3.8</v>
      </c>
      <c r="F25" s="144">
        <f>$M$23/$M$24*E25</f>
        <v>19949.989823245844</v>
      </c>
      <c r="G25" s="152">
        <f>$N$23/$N$24*E25</f>
        <v>19949.989823245844</v>
      </c>
      <c r="H25" s="146">
        <f t="shared" ref="H25:H30" si="0">F25-G25</f>
        <v>0</v>
      </c>
      <c r="I25" s="153"/>
      <c r="J25" s="154"/>
      <c r="K25" s="154"/>
      <c r="L25" s="154"/>
      <c r="M25" s="186"/>
      <c r="N25" s="186"/>
      <c r="O25" s="154"/>
    </row>
    <row r="26" spans="2:15" ht="56.25">
      <c r="B26" s="155" t="s">
        <v>171</v>
      </c>
      <c r="C26" s="6" t="s">
        <v>205</v>
      </c>
      <c r="D26" s="142" t="s">
        <v>188</v>
      </c>
      <c r="E26" s="151">
        <v>0.35</v>
      </c>
      <c r="F26" s="144">
        <f>$M$23/$M$24*E26</f>
        <v>1837.4990626673805</v>
      </c>
      <c r="G26" s="152">
        <f>$N$23/$N$24*E26</f>
        <v>1837.4990626673805</v>
      </c>
      <c r="H26" s="146">
        <f t="shared" si="0"/>
        <v>0</v>
      </c>
      <c r="I26" s="156"/>
      <c r="L26" s="131"/>
    </row>
    <row r="27" spans="2:15" ht="25.5">
      <c r="B27" s="155" t="s">
        <v>172</v>
      </c>
      <c r="C27" s="157" t="s">
        <v>190</v>
      </c>
      <c r="D27" s="142" t="s">
        <v>188</v>
      </c>
      <c r="E27" s="151">
        <v>0</v>
      </c>
      <c r="F27" s="144">
        <f t="shared" ref="F27:F32" si="1">$M$23/$M$24*E27</f>
        <v>0</v>
      </c>
      <c r="G27" s="152">
        <f t="shared" ref="G27:G29" si="2">$N$23/$N$24*E27</f>
        <v>0</v>
      </c>
      <c r="H27" s="146">
        <f t="shared" si="0"/>
        <v>0</v>
      </c>
      <c r="I27" s="156"/>
      <c r="L27" s="131"/>
    </row>
    <row r="28" spans="2:15" ht="51">
      <c r="B28" s="150" t="s">
        <v>288</v>
      </c>
      <c r="C28" s="158" t="s">
        <v>211</v>
      </c>
      <c r="D28" s="142" t="s">
        <v>188</v>
      </c>
      <c r="E28" s="151">
        <v>2</v>
      </c>
      <c r="F28" s="144">
        <f t="shared" si="1"/>
        <v>10499.994643813603</v>
      </c>
      <c r="G28" s="152">
        <f t="shared" si="2"/>
        <v>10499.994643813603</v>
      </c>
      <c r="H28" s="146">
        <f t="shared" si="0"/>
        <v>0</v>
      </c>
      <c r="I28" s="156"/>
    </row>
    <row r="29" spans="2:15" ht="234" customHeight="1">
      <c r="B29" s="150" t="s">
        <v>289</v>
      </c>
      <c r="C29" s="158" t="s">
        <v>191</v>
      </c>
      <c r="D29" s="142" t="s">
        <v>188</v>
      </c>
      <c r="E29" s="151">
        <v>7.3</v>
      </c>
      <c r="F29" s="144">
        <f t="shared" si="1"/>
        <v>38324.980449919647</v>
      </c>
      <c r="G29" s="152">
        <f t="shared" si="2"/>
        <v>38324.980449919647</v>
      </c>
      <c r="H29" s="146">
        <f t="shared" si="0"/>
        <v>0</v>
      </c>
      <c r="I29" s="153"/>
      <c r="J29" s="154"/>
      <c r="K29" s="154"/>
      <c r="L29" s="159"/>
      <c r="M29" s="186"/>
      <c r="N29" s="186"/>
    </row>
    <row r="30" spans="2:15" ht="123" customHeight="1">
      <c r="B30" s="150" t="s">
        <v>290</v>
      </c>
      <c r="C30" s="6" t="s">
        <v>205</v>
      </c>
      <c r="D30" s="142" t="s">
        <v>188</v>
      </c>
      <c r="E30" s="151">
        <v>0.3</v>
      </c>
      <c r="F30" s="144">
        <f t="shared" si="1"/>
        <v>1574.9991965720403</v>
      </c>
      <c r="G30" s="152">
        <f t="shared" ref="G30" si="3">$N$23/$N$24*E30</f>
        <v>1574.9991965720403</v>
      </c>
      <c r="H30" s="146">
        <f t="shared" si="0"/>
        <v>0</v>
      </c>
      <c r="I30" s="156"/>
    </row>
    <row r="31" spans="2:15" ht="56.25">
      <c r="B31" s="155" t="s">
        <v>193</v>
      </c>
      <c r="C31" s="6" t="s">
        <v>205</v>
      </c>
      <c r="D31" s="142" t="s">
        <v>188</v>
      </c>
      <c r="E31" s="151">
        <v>4</v>
      </c>
      <c r="F31" s="144">
        <v>20999.99</v>
      </c>
      <c r="G31" s="152"/>
      <c r="H31" s="146">
        <f>F31-G31</f>
        <v>20999.99</v>
      </c>
      <c r="I31" s="156"/>
      <c r="L31" s="131"/>
    </row>
    <row r="32" spans="2:15" ht="16.5" thickBot="1">
      <c r="B32" s="160" t="s">
        <v>173</v>
      </c>
      <c r="C32" s="161" t="s">
        <v>191</v>
      </c>
      <c r="D32" s="162" t="s">
        <v>188</v>
      </c>
      <c r="E32" s="163">
        <v>1.5</v>
      </c>
      <c r="F32" s="144">
        <f t="shared" si="1"/>
        <v>7874.9959828602023</v>
      </c>
      <c r="G32" s="152">
        <f t="shared" ref="G32" si="4">$N$23/$N$24*E32</f>
        <v>7874.9959828602023</v>
      </c>
      <c r="H32" s="164">
        <f>F32-G32</f>
        <v>0</v>
      </c>
      <c r="I32" s="156"/>
    </row>
    <row r="33" spans="2:15" ht="16.5" thickBot="1">
      <c r="B33" s="165" t="s">
        <v>177</v>
      </c>
      <c r="C33" s="166"/>
      <c r="D33" s="166"/>
      <c r="E33" s="167">
        <f>SUM(E24:E32)</f>
        <v>22.67</v>
      </c>
      <c r="F33" s="168">
        <f>SUM(F24:F32)</f>
        <v>119017.43999999999</v>
      </c>
      <c r="G33" s="169">
        <f>SUM(G24:G32)</f>
        <v>98017.449999999983</v>
      </c>
      <c r="H33" s="170">
        <f>SUM(H24:H32)</f>
        <v>20999.99</v>
      </c>
      <c r="I33" s="184"/>
    </row>
    <row r="34" spans="2:15">
      <c r="B34" s="131"/>
      <c r="C34" s="131"/>
      <c r="D34" s="131"/>
      <c r="E34" s="171"/>
      <c r="F34" s="132"/>
      <c r="G34" s="171"/>
      <c r="H34" s="132"/>
      <c r="O34" s="132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172"/>
      <c r="J35" s="172"/>
    </row>
    <row r="36" spans="2:15" ht="42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173"/>
      <c r="J36" s="174"/>
      <c r="K36" s="175"/>
      <c r="L36" s="176"/>
      <c r="M36" s="187"/>
      <c r="N36" s="187"/>
    </row>
    <row r="37" spans="2:15">
      <c r="B37" s="137" t="s">
        <v>14</v>
      </c>
      <c r="C37" s="302">
        <f>E37+G37</f>
        <v>1028202.3499999999</v>
      </c>
      <c r="D37" s="303"/>
      <c r="E37" s="306">
        <f>F24+F25+F26+F27+F28+F29+F30+F32+E16</f>
        <v>770229.77999999991</v>
      </c>
      <c r="F37" s="309"/>
      <c r="G37" s="306">
        <f>F31+G16</f>
        <v>257972.57</v>
      </c>
      <c r="H37" s="307"/>
      <c r="I37" s="177"/>
      <c r="J37" s="178"/>
      <c r="K37" s="179"/>
      <c r="L37" s="179"/>
      <c r="M37" s="188"/>
    </row>
    <row r="38" spans="2:15">
      <c r="B38" s="138" t="s">
        <v>15</v>
      </c>
      <c r="C38" s="304">
        <f>E38+G38</f>
        <v>1030862.46</v>
      </c>
      <c r="D38" s="305"/>
      <c r="E38" s="304">
        <f>E17+83556.31</f>
        <v>774321.67999999993</v>
      </c>
      <c r="F38" s="305"/>
      <c r="G38" s="304">
        <f>G17+17901.73</f>
        <v>256540.78000000003</v>
      </c>
      <c r="H38" s="308"/>
      <c r="I38" s="177"/>
      <c r="J38" s="178"/>
      <c r="K38" s="180"/>
      <c r="L38" s="179"/>
      <c r="M38" s="188"/>
    </row>
    <row r="39" spans="2:15" ht="16.5" thickBot="1">
      <c r="B39" s="139" t="s">
        <v>176</v>
      </c>
      <c r="C39" s="310">
        <f>E39+G39</f>
        <v>1039667.7662</v>
      </c>
      <c r="D39" s="311"/>
      <c r="E39" s="323">
        <f>G24+G25+G26+G27+G28+G29+G30+G32+E18</f>
        <v>774808.76619999995</v>
      </c>
      <c r="F39" s="325"/>
      <c r="G39" s="323">
        <f>G31+G18</f>
        <v>264859</v>
      </c>
      <c r="H39" s="324"/>
      <c r="I39" s="177"/>
      <c r="J39" s="178"/>
      <c r="K39" s="156"/>
      <c r="L39" s="156"/>
    </row>
    <row r="40" spans="2:15" ht="32.25" customHeight="1" thickBot="1">
      <c r="B40" s="140" t="s">
        <v>291</v>
      </c>
      <c r="C40" s="312">
        <f>E40+G40</f>
        <v>-8805.3061999999918</v>
      </c>
      <c r="D40" s="313"/>
      <c r="E40" s="314">
        <f>E38-E39</f>
        <v>-487.08620000001974</v>
      </c>
      <c r="F40" s="320"/>
      <c r="G40" s="314">
        <f>G38-G39</f>
        <v>-8318.2199999999721</v>
      </c>
      <c r="H40" s="315"/>
      <c r="I40" s="177"/>
      <c r="J40" s="178"/>
      <c r="K40" s="156"/>
      <c r="L40" s="156"/>
    </row>
    <row r="41" spans="2:15" ht="27.75" customHeight="1">
      <c r="B41" s="224" t="s">
        <v>167</v>
      </c>
      <c r="C41" s="326" t="s">
        <v>284</v>
      </c>
      <c r="D41" s="326"/>
      <c r="E41" s="326"/>
      <c r="F41" s="267" t="s">
        <v>293</v>
      </c>
      <c r="G41" s="267"/>
      <c r="H41" s="181"/>
      <c r="I41" s="181"/>
      <c r="J41" s="154"/>
      <c r="K41" s="154"/>
      <c r="L41" s="154"/>
      <c r="M41" s="186"/>
      <c r="N41" s="186"/>
      <c r="O41" s="154"/>
    </row>
    <row r="42" spans="2:15" ht="9.75" customHeight="1">
      <c r="B42" s="224"/>
      <c r="C42" s="224"/>
      <c r="D42" s="224"/>
      <c r="E42" s="182"/>
      <c r="F42" s="322"/>
      <c r="G42" s="322"/>
      <c r="H42" s="181"/>
      <c r="I42" s="181"/>
      <c r="J42" s="154"/>
      <c r="K42" s="154"/>
      <c r="L42" s="154"/>
      <c r="M42" s="186"/>
      <c r="N42" s="186"/>
      <c r="O42" s="154"/>
    </row>
    <row r="43" spans="2:15">
      <c r="B43" s="224" t="s">
        <v>168</v>
      </c>
      <c r="C43" s="326" t="s">
        <v>284</v>
      </c>
      <c r="D43" s="326"/>
      <c r="E43" s="326"/>
      <c r="F43" s="321" t="s">
        <v>195</v>
      </c>
      <c r="G43" s="321"/>
      <c r="H43" s="181"/>
      <c r="I43" s="181"/>
      <c r="J43" s="154"/>
      <c r="K43" s="154"/>
      <c r="L43" s="154"/>
      <c r="M43" s="186"/>
      <c r="N43" s="186"/>
      <c r="O43" s="154"/>
    </row>
    <row r="44" spans="2:15" ht="9.75" customHeight="1">
      <c r="B44" s="224"/>
      <c r="C44" s="224"/>
      <c r="D44" s="224"/>
      <c r="E44" s="182"/>
      <c r="F44" s="321"/>
      <c r="G44" s="321"/>
      <c r="H44" s="181"/>
      <c r="I44" s="181"/>
    </row>
    <row r="45" spans="2:15">
      <c r="B45" s="224" t="s">
        <v>169</v>
      </c>
      <c r="C45" s="326" t="s">
        <v>284</v>
      </c>
      <c r="D45" s="326"/>
      <c r="E45" s="326"/>
      <c r="F45" s="267" t="s">
        <v>294</v>
      </c>
      <c r="G45" s="267"/>
      <c r="H45" s="181"/>
      <c r="I45" s="181"/>
    </row>
    <row r="46" spans="2:15" ht="10.5" customHeight="1">
      <c r="B46" s="183"/>
      <c r="C46" s="183"/>
      <c r="D46" s="183"/>
      <c r="E46" s="182"/>
      <c r="F46" s="43"/>
      <c r="G46" s="44"/>
      <c r="H46" s="128"/>
      <c r="I46" s="127"/>
    </row>
    <row r="47" spans="2:15">
      <c r="B47" s="224" t="s">
        <v>170</v>
      </c>
      <c r="C47" s="326" t="s">
        <v>284</v>
      </c>
      <c r="D47" s="326"/>
      <c r="E47" s="326"/>
      <c r="F47" s="267" t="s">
        <v>294</v>
      </c>
      <c r="G47" s="267"/>
      <c r="H47" s="181"/>
      <c r="I47" s="181"/>
    </row>
    <row r="48" spans="2:15" ht="9.75" customHeight="1">
      <c r="E48" s="182"/>
    </row>
  </sheetData>
  <mergeCells count="54">
    <mergeCell ref="C39:D39"/>
    <mergeCell ref="C40:D40"/>
    <mergeCell ref="F45:G45"/>
    <mergeCell ref="F44:G44"/>
    <mergeCell ref="F47:G47"/>
    <mergeCell ref="F42:G42"/>
    <mergeCell ref="F43:G43"/>
    <mergeCell ref="G39:H39"/>
    <mergeCell ref="E40:F40"/>
    <mergeCell ref="G40:H40"/>
    <mergeCell ref="F41:G41"/>
    <mergeCell ref="E39:F39"/>
    <mergeCell ref="C41:E41"/>
    <mergeCell ref="C43:E43"/>
    <mergeCell ref="C45:E45"/>
    <mergeCell ref="C47:E47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8:F18"/>
    <mergeCell ref="G18:H18"/>
    <mergeCell ref="E19:F19"/>
    <mergeCell ref="G19:H19"/>
    <mergeCell ref="E16:F16"/>
    <mergeCell ref="G16:H16"/>
    <mergeCell ref="E17:F17"/>
    <mergeCell ref="G17:H17"/>
    <mergeCell ref="C15:D15"/>
    <mergeCell ref="C16:D16"/>
    <mergeCell ref="C17:D17"/>
    <mergeCell ref="C18:D18"/>
    <mergeCell ref="C19:D19"/>
    <mergeCell ref="M21:M22"/>
    <mergeCell ref="N21:N22"/>
    <mergeCell ref="C36:D36"/>
    <mergeCell ref="C37:D37"/>
    <mergeCell ref="C38:D38"/>
    <mergeCell ref="B35:H35"/>
    <mergeCell ref="G37:H37"/>
    <mergeCell ref="E38:F38"/>
    <mergeCell ref="G38:H38"/>
    <mergeCell ref="E36:F36"/>
    <mergeCell ref="G36:H36"/>
    <mergeCell ref="E37:F37"/>
  </mergeCells>
  <printOptions horizontalCentered="1"/>
  <pageMargins left="0.19685039370078741" right="0.19685039370078741" top="0.15748031496062992" bottom="0.31496062992125984" header="0.31496062992125984" footer="0.31496062992125984"/>
  <pageSetup paperSize="9" scale="5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140625" style="3" customWidth="1"/>
    <col min="3" max="3" width="23.28515625" style="78" customWidth="1"/>
    <col min="4" max="4" width="9.85546875" style="78" customWidth="1"/>
    <col min="5" max="5" width="10.28515625" style="78" customWidth="1"/>
    <col min="6" max="6" width="9.5703125" style="3" customWidth="1"/>
    <col min="7" max="7" width="10.28515625" style="3" customWidth="1"/>
    <col min="8" max="8" width="10.5703125" style="3" customWidth="1"/>
    <col min="9" max="9" width="10.7109375" style="3" bestFit="1" customWidth="1"/>
    <col min="10" max="12" width="9.140625" style="3"/>
    <col min="13" max="13" width="13.7109375" style="185" customWidth="1"/>
    <col min="14" max="14" width="13.4257812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3.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132</v>
      </c>
      <c r="E5" s="233"/>
    </row>
    <row r="6" spans="1:9">
      <c r="B6" s="8" t="s">
        <v>1</v>
      </c>
      <c r="C6" s="45"/>
      <c r="D6" s="217">
        <v>1963</v>
      </c>
      <c r="E6" s="217"/>
    </row>
    <row r="7" spans="1:9" ht="15.75" hidden="1" customHeight="1" outlineLevel="1">
      <c r="B7" s="8" t="s">
        <v>2</v>
      </c>
      <c r="C7" s="45"/>
      <c r="D7" s="217">
        <v>2</v>
      </c>
      <c r="E7" s="217"/>
    </row>
    <row r="8" spans="1:9" ht="15.75" hidden="1" customHeight="1" outlineLevel="1">
      <c r="B8" s="8" t="s">
        <v>3</v>
      </c>
      <c r="C8" s="45"/>
      <c r="D8" s="217">
        <v>16</v>
      </c>
      <c r="E8" s="217"/>
    </row>
    <row r="9" spans="1:9" ht="30.75" hidden="1" customHeight="1" outlineLevel="1">
      <c r="B9" s="111" t="s">
        <v>4</v>
      </c>
      <c r="C9" s="122"/>
      <c r="D9" s="217" t="s">
        <v>133</v>
      </c>
      <c r="E9" s="217"/>
    </row>
    <row r="10" spans="1:9" collapsed="1">
      <c r="B10" s="8" t="s">
        <v>5</v>
      </c>
      <c r="C10" s="45"/>
      <c r="D10" s="217" t="s">
        <v>251</v>
      </c>
      <c r="E10" s="217"/>
      <c r="I10" s="14"/>
    </row>
    <row r="11" spans="1:9" ht="15.75" hidden="1" customHeight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134</v>
      </c>
      <c r="E12" s="216"/>
      <c r="I12" s="14"/>
    </row>
    <row r="13" spans="1:9" ht="10.5" customHeight="1" collapsed="1">
      <c r="B13" s="11"/>
      <c r="C13" s="76"/>
      <c r="D13" s="87"/>
      <c r="E13" s="216"/>
      <c r="I13" s="14"/>
    </row>
    <row r="14" spans="1:9" ht="14.25" customHeight="1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3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1269175.3200000003</v>
      </c>
      <c r="D16" s="239"/>
      <c r="E16" s="263">
        <v>886686.27000000014</v>
      </c>
      <c r="F16" s="264"/>
      <c r="G16" s="263">
        <v>382489.05000000005</v>
      </c>
      <c r="H16" s="265"/>
      <c r="I16" s="14"/>
    </row>
    <row r="17" spans="2:15">
      <c r="B17" s="89" t="s">
        <v>15</v>
      </c>
      <c r="C17" s="235">
        <v>1080992.5300000003</v>
      </c>
      <c r="D17" s="236"/>
      <c r="E17" s="235">
        <v>753578.7200000002</v>
      </c>
      <c r="F17" s="236"/>
      <c r="G17" s="235">
        <v>327413.80999999994</v>
      </c>
      <c r="H17" s="237"/>
      <c r="I17" s="14"/>
    </row>
    <row r="18" spans="2:15" ht="16.5" thickBot="1">
      <c r="B18" s="90" t="s">
        <v>176</v>
      </c>
      <c r="C18" s="235">
        <v>1179483.0451000002</v>
      </c>
      <c r="D18" s="236"/>
      <c r="E18" s="260">
        <v>890137.0451000001</v>
      </c>
      <c r="F18" s="261"/>
      <c r="G18" s="260">
        <v>289346</v>
      </c>
      <c r="H18" s="262"/>
      <c r="I18" s="14"/>
    </row>
    <row r="19" spans="2:15" ht="33" customHeight="1" thickBot="1">
      <c r="B19" s="92" t="s">
        <v>274</v>
      </c>
      <c r="C19" s="249">
        <f>E19+G19</f>
        <v>-98490.515099999961</v>
      </c>
      <c r="D19" s="250"/>
      <c r="E19" s="251">
        <f>E17-E18</f>
        <v>-136558.3250999999</v>
      </c>
      <c r="F19" s="252"/>
      <c r="G19" s="251">
        <f>G17-G18</f>
        <v>38067.809999999939</v>
      </c>
      <c r="H19" s="253"/>
      <c r="I19" s="14"/>
    </row>
    <row r="20" spans="2:15" ht="15" customHeight="1">
      <c r="B20" s="79"/>
      <c r="C20" s="79"/>
      <c r="D20" s="80"/>
      <c r="E20" s="81"/>
      <c r="F20" s="81"/>
      <c r="G20" s="81"/>
      <c r="H20" s="81"/>
      <c r="I20" s="14"/>
    </row>
    <row r="21" spans="2:15" ht="22.5" customHeight="1" thickBot="1">
      <c r="B21" s="254" t="s">
        <v>302</v>
      </c>
      <c r="C21" s="254"/>
      <c r="D21" s="254"/>
      <c r="E21" s="254"/>
      <c r="F21" s="254"/>
      <c r="G21" s="254"/>
      <c r="H21" s="254"/>
      <c r="L21" s="14"/>
      <c r="M21" s="206" t="s">
        <v>278</v>
      </c>
      <c r="N21" s="206" t="s">
        <v>279</v>
      </c>
    </row>
    <row r="22" spans="2:15" ht="42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4"/>
      <c r="M22" s="207"/>
      <c r="N22" s="207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131371.68</v>
      </c>
      <c r="N23" s="204">
        <f>M23</f>
        <v>131371.68</v>
      </c>
    </row>
    <row r="24" spans="2:15" ht="51" customHeight="1">
      <c r="B24" s="18" t="s">
        <v>178</v>
      </c>
      <c r="C24" s="6" t="s">
        <v>205</v>
      </c>
      <c r="D24" s="19" t="s">
        <v>188</v>
      </c>
      <c r="E24" s="143">
        <v>3.42</v>
      </c>
      <c r="F24" s="20">
        <f>$M$23/$M$24*E24</f>
        <v>25100.063999999995</v>
      </c>
      <c r="G24" s="21">
        <f>$N$23/$N$24*E24</f>
        <v>25100.063999999995</v>
      </c>
      <c r="H24" s="22">
        <f>F24-G24</f>
        <v>0</v>
      </c>
      <c r="I24" s="57"/>
      <c r="J24" s="24"/>
      <c r="K24" s="24"/>
      <c r="L24" s="25"/>
      <c r="M24" s="205">
        <f>E33-E31</f>
        <v>17.900000000000002</v>
      </c>
      <c r="N24" s="205">
        <f>E33-E31</f>
        <v>17.900000000000002</v>
      </c>
      <c r="O24" s="24"/>
    </row>
    <row r="25" spans="2:15" ht="51">
      <c r="B25" s="26" t="s">
        <v>189</v>
      </c>
      <c r="C25" s="6" t="s">
        <v>205</v>
      </c>
      <c r="D25" s="19" t="s">
        <v>188</v>
      </c>
      <c r="E25" s="151">
        <v>3.8</v>
      </c>
      <c r="F25" s="20">
        <f>$M$23/$M$24*E25</f>
        <v>27888.959999999995</v>
      </c>
      <c r="G25" s="4">
        <f>$N$23/$N$24*E25</f>
        <v>27888.959999999995</v>
      </c>
      <c r="H25" s="22">
        <f t="shared" ref="H25:H30" si="0">F25-G25</f>
        <v>0</v>
      </c>
      <c r="I25" s="58"/>
      <c r="J25" s="2"/>
      <c r="K25" s="2"/>
      <c r="L25" s="2"/>
      <c r="M25" s="186"/>
      <c r="N25" s="186"/>
      <c r="O25" s="2"/>
    </row>
    <row r="26" spans="2:15" ht="45">
      <c r="B26" s="27" t="s">
        <v>171</v>
      </c>
      <c r="C26" s="6" t="s">
        <v>205</v>
      </c>
      <c r="D26" s="19" t="s">
        <v>188</v>
      </c>
      <c r="E26" s="151">
        <v>0.35</v>
      </c>
      <c r="F26" s="20">
        <f t="shared" ref="F26:F32" si="1">$M$23/$M$24*E26</f>
        <v>2568.7199999999993</v>
      </c>
      <c r="G26" s="4">
        <f t="shared" ref="G26:G29" si="2">$N$23/$N$24*E26</f>
        <v>2568.7199999999993</v>
      </c>
      <c r="H26" s="22">
        <f t="shared" si="0"/>
        <v>0</v>
      </c>
      <c r="I26" s="41"/>
      <c r="L26" s="14"/>
    </row>
    <row r="27" spans="2:15" ht="25.5">
      <c r="B27" s="27" t="s">
        <v>172</v>
      </c>
      <c r="C27" s="28" t="s">
        <v>190</v>
      </c>
      <c r="D27" s="19" t="s">
        <v>188</v>
      </c>
      <c r="E27" s="94">
        <v>0</v>
      </c>
      <c r="F27" s="20">
        <f t="shared" si="1"/>
        <v>0</v>
      </c>
      <c r="G27" s="4">
        <f t="shared" si="2"/>
        <v>0</v>
      </c>
      <c r="H27" s="22">
        <f t="shared" si="0"/>
        <v>0</v>
      </c>
      <c r="I27" s="41"/>
      <c r="L27" s="14"/>
    </row>
    <row r="28" spans="2:15" ht="51">
      <c r="B28" s="26" t="s">
        <v>179</v>
      </c>
      <c r="C28" s="29" t="s">
        <v>211</v>
      </c>
      <c r="D28" s="19" t="s">
        <v>188</v>
      </c>
      <c r="E28" s="94">
        <v>1.97</v>
      </c>
      <c r="F28" s="20">
        <f t="shared" si="1"/>
        <v>14458.223999999998</v>
      </c>
      <c r="G28" s="4">
        <f t="shared" si="2"/>
        <v>14458.223999999998</v>
      </c>
      <c r="H28" s="22">
        <f t="shared" si="0"/>
        <v>0</v>
      </c>
      <c r="I28" s="41"/>
    </row>
    <row r="29" spans="2:15" ht="233.25" customHeight="1">
      <c r="B29" s="26" t="s">
        <v>204</v>
      </c>
      <c r="C29" s="29" t="s">
        <v>191</v>
      </c>
      <c r="D29" s="19" t="s">
        <v>188</v>
      </c>
      <c r="E29" s="94">
        <v>7.3</v>
      </c>
      <c r="F29" s="20">
        <f t="shared" si="1"/>
        <v>53576.159999999989</v>
      </c>
      <c r="G29" s="4">
        <f t="shared" si="2"/>
        <v>53576.159999999989</v>
      </c>
      <c r="H29" s="22">
        <f t="shared" si="0"/>
        <v>0</v>
      </c>
      <c r="I29" s="58"/>
      <c r="J29" s="2"/>
      <c r="K29" s="2"/>
      <c r="L29" s="1"/>
      <c r="M29" s="186"/>
      <c r="N29" s="186"/>
    </row>
    <row r="30" spans="2:15" ht="123" customHeight="1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1"/>
        <v>2201.7599999999998</v>
      </c>
      <c r="G30" s="4">
        <f t="shared" ref="G30" si="3">$N$23/$N$24*E30</f>
        <v>2201.7599999999998</v>
      </c>
      <c r="H30" s="22">
        <f t="shared" si="0"/>
        <v>0</v>
      </c>
      <c r="I30" s="41"/>
    </row>
    <row r="31" spans="2:15" ht="45">
      <c r="B31" s="27" t="s">
        <v>193</v>
      </c>
      <c r="C31" s="6" t="s">
        <v>205</v>
      </c>
      <c r="D31" s="19" t="s">
        <v>188</v>
      </c>
      <c r="E31" s="94">
        <v>4.8</v>
      </c>
      <c r="F31" s="20">
        <v>35228.160000000003</v>
      </c>
      <c r="G31" s="4">
        <v>10290</v>
      </c>
      <c r="H31" s="22">
        <f>F31-G31</f>
        <v>24938.160000000003</v>
      </c>
      <c r="I31" s="41"/>
      <c r="L31" s="14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0.76</v>
      </c>
      <c r="F32" s="20">
        <f t="shared" si="1"/>
        <v>5577.7919999999995</v>
      </c>
      <c r="G32" s="4">
        <f t="shared" ref="G32" si="4">$N$23/$N$24*E32</f>
        <v>5577.7919999999995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22.700000000000003</v>
      </c>
      <c r="F33" s="53">
        <f>SUM(F24:F32)</f>
        <v>166599.83999999997</v>
      </c>
      <c r="G33" s="54">
        <f>SUM(G24:G32)</f>
        <v>141661.67999999996</v>
      </c>
      <c r="H33" s="35">
        <f>SUM(H24:H32)</f>
        <v>24938.160000000003</v>
      </c>
      <c r="I33" s="41"/>
    </row>
    <row r="34" spans="2:15">
      <c r="B34" s="14"/>
      <c r="C34" s="14"/>
      <c r="D34" s="14"/>
      <c r="E34" s="82"/>
      <c r="F34" s="78"/>
      <c r="G34" s="82"/>
      <c r="H34" s="78"/>
      <c r="O34" s="78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2.7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40"/>
      <c r="M36" s="187"/>
      <c r="N36" s="187"/>
    </row>
    <row r="37" spans="2:15">
      <c r="B37" s="88" t="s">
        <v>14</v>
      </c>
      <c r="C37" s="238">
        <f>E37+G37</f>
        <v>1435775.1600000001</v>
      </c>
      <c r="D37" s="239"/>
      <c r="E37" s="263">
        <f>F24+F25+F26+F27+F28+F29+F30+F32+E16</f>
        <v>1018057.9500000001</v>
      </c>
      <c r="F37" s="264"/>
      <c r="G37" s="263">
        <f>F31+G16</f>
        <v>417717.21000000008</v>
      </c>
      <c r="H37" s="265"/>
      <c r="I37" s="73"/>
      <c r="J37" s="74"/>
      <c r="K37" s="7"/>
      <c r="L37" s="7"/>
      <c r="M37" s="188"/>
    </row>
    <row r="38" spans="2:15">
      <c r="B38" s="89" t="s">
        <v>15</v>
      </c>
      <c r="C38" s="235">
        <f>E38+G38</f>
        <v>1205365.07</v>
      </c>
      <c r="D38" s="236"/>
      <c r="E38" s="235">
        <f>E17+98073.5</f>
        <v>851652.2200000002</v>
      </c>
      <c r="F38" s="236"/>
      <c r="G38" s="235">
        <f>G17+26299.04</f>
        <v>353712.84999999992</v>
      </c>
      <c r="H38" s="237"/>
      <c r="I38" s="73"/>
      <c r="J38" s="74"/>
      <c r="K38" s="9"/>
      <c r="L38" s="7"/>
      <c r="M38" s="188"/>
    </row>
    <row r="39" spans="2:15" ht="16.5" thickBot="1">
      <c r="B39" s="90" t="s">
        <v>176</v>
      </c>
      <c r="C39" s="269">
        <f>E39+G39</f>
        <v>1321144.7250999999</v>
      </c>
      <c r="D39" s="270"/>
      <c r="E39" s="260">
        <f>G24+G25+G26+G27+G28+G29+G30+G32+E18</f>
        <v>1021508.7251</v>
      </c>
      <c r="F39" s="261"/>
      <c r="G39" s="260">
        <f>G31+G18</f>
        <v>299636</v>
      </c>
      <c r="H39" s="262"/>
      <c r="I39" s="73"/>
      <c r="J39" s="74"/>
      <c r="K39" s="41"/>
      <c r="L39" s="41"/>
    </row>
    <row r="40" spans="2:15" ht="36.75" thickBot="1">
      <c r="B40" s="92" t="s">
        <v>275</v>
      </c>
      <c r="C40" s="249">
        <f>E40+G40</f>
        <v>-115779.65509999992</v>
      </c>
      <c r="D40" s="250"/>
      <c r="E40" s="251">
        <f>E38-E39</f>
        <v>-169856.50509999983</v>
      </c>
      <c r="F40" s="252"/>
      <c r="G40" s="251">
        <f>G38-G39</f>
        <v>54076.849999999919</v>
      </c>
      <c r="H40" s="253"/>
      <c r="I40" s="73"/>
      <c r="J40" s="74"/>
      <c r="K40" s="41"/>
      <c r="L40" s="41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2"/>
      <c r="M41" s="186"/>
      <c r="N41" s="186"/>
      <c r="O41" s="2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2"/>
      <c r="M42" s="186"/>
      <c r="N42" s="186"/>
      <c r="O42" s="2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2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9.75" customHeight="1">
      <c r="E48" s="220"/>
    </row>
  </sheetData>
  <mergeCells count="52"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8:F18"/>
    <mergeCell ref="G18:H18"/>
    <mergeCell ref="E19:F19"/>
    <mergeCell ref="G19:H19"/>
    <mergeCell ref="E16:F16"/>
    <mergeCell ref="G16:H16"/>
    <mergeCell ref="E17:F17"/>
    <mergeCell ref="G17:H17"/>
    <mergeCell ref="C15:D15"/>
    <mergeCell ref="C16:D16"/>
    <mergeCell ref="C17:D17"/>
    <mergeCell ref="C18:D18"/>
    <mergeCell ref="C19:D19"/>
    <mergeCell ref="C36:D36"/>
    <mergeCell ref="C37:D37"/>
    <mergeCell ref="C38:D38"/>
    <mergeCell ref="B35:H35"/>
    <mergeCell ref="E36:F36"/>
    <mergeCell ref="G36:H36"/>
    <mergeCell ref="E37:F37"/>
    <mergeCell ref="G37:H37"/>
    <mergeCell ref="E38:F38"/>
    <mergeCell ref="G38:H38"/>
    <mergeCell ref="C41:E41"/>
    <mergeCell ref="C43:E43"/>
    <mergeCell ref="C45:E45"/>
    <mergeCell ref="C47:E47"/>
    <mergeCell ref="G39:H39"/>
    <mergeCell ref="G40:H40"/>
    <mergeCell ref="E39:F39"/>
    <mergeCell ref="E40:F40"/>
    <mergeCell ref="C39:D39"/>
    <mergeCell ref="C40:D40"/>
    <mergeCell ref="F43:G43"/>
    <mergeCell ref="F41:G41"/>
    <mergeCell ref="F42:G42"/>
    <mergeCell ref="F47:G47"/>
    <mergeCell ref="F44:G44"/>
    <mergeCell ref="F45:G45"/>
  </mergeCells>
  <printOptions horizontalCentered="1"/>
  <pageMargins left="0.19685039370078741" right="0.27559055118110237" top="0.15748031496062992" bottom="0.23622047244094491" header="0.19685039370078741" footer="0.23622047244094491"/>
  <pageSetup paperSize="9" scale="4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7.5703125" style="3" customWidth="1"/>
    <col min="3" max="3" width="22.28515625" style="78" customWidth="1"/>
    <col min="4" max="4" width="9.85546875" style="78" customWidth="1"/>
    <col min="5" max="5" width="10.28515625" style="78" customWidth="1"/>
    <col min="6" max="6" width="10.140625" style="3" customWidth="1"/>
    <col min="7" max="7" width="10.28515625" style="3" customWidth="1"/>
    <col min="8" max="8" width="10.7109375" style="3" customWidth="1"/>
    <col min="9" max="9" width="10.7109375" style="3" bestFit="1" customWidth="1"/>
    <col min="10" max="11" width="9.140625" style="3"/>
    <col min="12" max="12" width="9.140625" style="125"/>
    <col min="13" max="13" width="14.5703125" style="185" customWidth="1"/>
    <col min="14" max="14" width="13.570312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135</v>
      </c>
      <c r="E5" s="233"/>
    </row>
    <row r="6" spans="1:9">
      <c r="B6" s="8" t="s">
        <v>1</v>
      </c>
      <c r="C6" s="45"/>
      <c r="D6" s="217">
        <v>1982</v>
      </c>
      <c r="E6" s="217"/>
    </row>
    <row r="7" spans="1:9" hidden="1" outlineLevel="1">
      <c r="B7" s="8" t="s">
        <v>2</v>
      </c>
      <c r="C7" s="45"/>
      <c r="D7" s="217">
        <v>3</v>
      </c>
      <c r="E7" s="217"/>
    </row>
    <row r="8" spans="1:9" hidden="1" outlineLevel="1">
      <c r="B8" s="8" t="s">
        <v>3</v>
      </c>
      <c r="C8" s="45"/>
      <c r="D8" s="217">
        <v>18</v>
      </c>
      <c r="E8" s="217"/>
    </row>
    <row r="9" spans="1:9" ht="30.75" hidden="1" customHeight="1" outlineLevel="1">
      <c r="B9" s="111" t="s">
        <v>4</v>
      </c>
      <c r="C9" s="122"/>
      <c r="D9" s="217" t="s">
        <v>136</v>
      </c>
      <c r="E9" s="217"/>
    </row>
    <row r="10" spans="1:9" collapsed="1">
      <c r="B10" s="8" t="s">
        <v>5</v>
      </c>
      <c r="C10" s="45"/>
      <c r="D10" s="217" t="s">
        <v>252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140</v>
      </c>
      <c r="E12" s="216"/>
      <c r="I12" s="14"/>
    </row>
    <row r="13" spans="1:9" ht="12.7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6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1527077.7685504921</v>
      </c>
      <c r="D16" s="273"/>
      <c r="E16" s="263">
        <v>1243964.1285504922</v>
      </c>
      <c r="F16" s="264"/>
      <c r="G16" s="263">
        <v>283113.63999999996</v>
      </c>
      <c r="H16" s="265"/>
      <c r="I16" s="14"/>
    </row>
    <row r="17" spans="2:15">
      <c r="B17" s="89" t="s">
        <v>15</v>
      </c>
      <c r="C17" s="235">
        <v>1456328.5210000002</v>
      </c>
      <c r="D17" s="236"/>
      <c r="E17" s="235">
        <v>1190681.55</v>
      </c>
      <c r="F17" s="236"/>
      <c r="G17" s="235">
        <v>265646.97100000002</v>
      </c>
      <c r="H17" s="237"/>
      <c r="I17" s="14"/>
    </row>
    <row r="18" spans="2:15">
      <c r="B18" s="90" t="s">
        <v>176</v>
      </c>
      <c r="C18" s="235">
        <v>1351006.1282106773</v>
      </c>
      <c r="D18" s="236"/>
      <c r="E18" s="260">
        <v>1250768.1282106773</v>
      </c>
      <c r="F18" s="261"/>
      <c r="G18" s="260">
        <v>100238</v>
      </c>
      <c r="H18" s="262"/>
      <c r="I18" s="14"/>
    </row>
    <row r="19" spans="2:15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5" ht="30.75" customHeight="1" thickBot="1">
      <c r="B20" s="92" t="s">
        <v>274</v>
      </c>
      <c r="C20" s="249">
        <f>E20+G20</f>
        <v>137722.39278932277</v>
      </c>
      <c r="D20" s="250"/>
      <c r="E20" s="251">
        <f>E17+E19-E18</f>
        <v>-27686.578210677253</v>
      </c>
      <c r="F20" s="252"/>
      <c r="G20" s="251">
        <f>G17-G18</f>
        <v>165408.97100000002</v>
      </c>
      <c r="H20" s="253"/>
      <c r="I20" s="14"/>
    </row>
    <row r="21" spans="2:15">
      <c r="B21" s="79"/>
      <c r="C21" s="79"/>
      <c r="D21" s="80"/>
      <c r="E21" s="81"/>
      <c r="F21" s="81"/>
      <c r="G21" s="81"/>
      <c r="H21" s="81"/>
      <c r="I21" s="14"/>
    </row>
    <row r="22" spans="2:15" ht="16.5" customHeight="1" thickBot="1">
      <c r="B22" s="254" t="s">
        <v>302</v>
      </c>
      <c r="C22" s="254"/>
      <c r="D22" s="254"/>
      <c r="E22" s="254"/>
      <c r="F22" s="254"/>
      <c r="G22" s="254"/>
      <c r="H22" s="254"/>
      <c r="L22" s="131"/>
      <c r="M22" s="241" t="s">
        <v>278</v>
      </c>
      <c r="N22" s="241" t="s">
        <v>279</v>
      </c>
    </row>
    <row r="23" spans="2:15" ht="32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L23" s="131"/>
      <c r="M23" s="242"/>
      <c r="N23" s="242"/>
    </row>
    <row r="24" spans="2:15" ht="53.2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M24" s="204">
        <v>172402.42</v>
      </c>
      <c r="N24" s="204">
        <f>M24</f>
        <v>172402.42</v>
      </c>
    </row>
    <row r="25" spans="2:15" ht="56.25">
      <c r="B25" s="18" t="s">
        <v>178</v>
      </c>
      <c r="C25" s="6" t="s">
        <v>205</v>
      </c>
      <c r="D25" s="19" t="s">
        <v>188</v>
      </c>
      <c r="E25" s="143">
        <v>3.42</v>
      </c>
      <c r="F25" s="20">
        <f>$M$24/$M$25*E25</f>
        <v>34785.621026548688</v>
      </c>
      <c r="G25" s="21">
        <f>$N$24/$N$25*E25</f>
        <v>34785.621026548688</v>
      </c>
      <c r="H25" s="22">
        <f>F25-G25</f>
        <v>0</v>
      </c>
      <c r="I25" s="57"/>
      <c r="J25" s="24"/>
      <c r="K25" s="24"/>
      <c r="L25" s="149"/>
      <c r="M25" s="205">
        <f>E34-E32</f>
        <v>16.949999999999996</v>
      </c>
      <c r="N25" s="205">
        <f>E34-E32</f>
        <v>16.949999999999996</v>
      </c>
      <c r="O25" s="24"/>
    </row>
    <row r="26" spans="2:15" ht="56.25">
      <c r="B26" s="26" t="s">
        <v>189</v>
      </c>
      <c r="C26" s="6" t="s">
        <v>205</v>
      </c>
      <c r="D26" s="19" t="s">
        <v>188</v>
      </c>
      <c r="E26" s="151">
        <v>3.8</v>
      </c>
      <c r="F26" s="20">
        <f>$M$24/$M$25*E26</f>
        <v>38650.690029498539</v>
      </c>
      <c r="G26" s="4">
        <f>$N$24/$N$25*E26</f>
        <v>38650.690029498539</v>
      </c>
      <c r="H26" s="22">
        <f t="shared" ref="H26:H31" si="0">F26-G26</f>
        <v>0</v>
      </c>
      <c r="I26" s="58"/>
      <c r="J26" s="2"/>
      <c r="K26" s="2"/>
      <c r="L26" s="154"/>
      <c r="M26" s="186"/>
      <c r="N26" s="186"/>
      <c r="O26" s="2"/>
    </row>
    <row r="27" spans="2:15" ht="56.25">
      <c r="B27" s="27" t="s">
        <v>171</v>
      </c>
      <c r="C27" s="6" t="s">
        <v>205</v>
      </c>
      <c r="D27" s="19" t="s">
        <v>188</v>
      </c>
      <c r="E27" s="151">
        <v>0.35</v>
      </c>
      <c r="F27" s="20">
        <f t="shared" ref="F27:F33" si="1">$M$24/$M$25*E27</f>
        <v>3559.9319764011811</v>
      </c>
      <c r="G27" s="4">
        <f t="shared" ref="G27:G30" si="2">$N$24/$N$25*E27</f>
        <v>3559.9319764011811</v>
      </c>
      <c r="H27" s="22">
        <f t="shared" si="0"/>
        <v>0</v>
      </c>
      <c r="I27" s="41"/>
      <c r="L27" s="131"/>
    </row>
    <row r="28" spans="2:15" ht="25.5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ref="F28" si="3">$M$24/$M$25*E28</f>
        <v>6509.5898997050172</v>
      </c>
      <c r="G28" s="4">
        <f t="shared" ref="G28" si="4">$N$24/$N$25*E28</f>
        <v>6509.5898997050172</v>
      </c>
      <c r="H28" s="22">
        <f t="shared" si="0"/>
        <v>0</v>
      </c>
      <c r="I28" s="41"/>
      <c r="L28" s="131"/>
    </row>
    <row r="29" spans="2:15" ht="51">
      <c r="B29" s="26" t="s">
        <v>179</v>
      </c>
      <c r="C29" s="29" t="s">
        <v>211</v>
      </c>
      <c r="D29" s="19" t="s">
        <v>188</v>
      </c>
      <c r="E29" s="94">
        <v>1.52</v>
      </c>
      <c r="F29" s="20">
        <f t="shared" si="1"/>
        <v>15460.276011799417</v>
      </c>
      <c r="G29" s="4">
        <f t="shared" si="2"/>
        <v>15460.276011799417</v>
      </c>
      <c r="H29" s="22">
        <f t="shared" si="0"/>
        <v>0</v>
      </c>
      <c r="I29" s="41"/>
    </row>
    <row r="30" spans="2:15" ht="211.5" customHeight="1">
      <c r="B30" s="26" t="s">
        <v>204</v>
      </c>
      <c r="C30" s="29" t="s">
        <v>191</v>
      </c>
      <c r="D30" s="19" t="s">
        <v>188</v>
      </c>
      <c r="E30" s="94">
        <v>6.44</v>
      </c>
      <c r="F30" s="20">
        <f t="shared" si="1"/>
        <v>65502.748365781743</v>
      </c>
      <c r="G30" s="4">
        <f t="shared" si="2"/>
        <v>65502.748365781743</v>
      </c>
      <c r="H30" s="22">
        <f t="shared" si="0"/>
        <v>0</v>
      </c>
      <c r="I30" s="58"/>
      <c r="J30" s="2"/>
      <c r="K30" s="2"/>
      <c r="L30" s="159"/>
      <c r="M30" s="186"/>
      <c r="N30" s="186"/>
    </row>
    <row r="31" spans="2:15" ht="123" customHeight="1">
      <c r="B31" s="26" t="s">
        <v>192</v>
      </c>
      <c r="C31" s="6" t="s">
        <v>205</v>
      </c>
      <c r="D31" s="19" t="s">
        <v>188</v>
      </c>
      <c r="E31" s="94">
        <v>0.2</v>
      </c>
      <c r="F31" s="20">
        <f t="shared" si="1"/>
        <v>2034.2468436578181</v>
      </c>
      <c r="G31" s="4">
        <f t="shared" ref="G31" si="5">$N$24/$N$25*E31</f>
        <v>2034.2468436578181</v>
      </c>
      <c r="H31" s="22">
        <f t="shared" si="0"/>
        <v>0</v>
      </c>
      <c r="I31" s="41"/>
    </row>
    <row r="32" spans="2:15" ht="56.25">
      <c r="B32" s="27" t="s">
        <v>193</v>
      </c>
      <c r="C32" s="6" t="s">
        <v>205</v>
      </c>
      <c r="D32" s="19" t="s">
        <v>188</v>
      </c>
      <c r="E32" s="94">
        <v>4</v>
      </c>
      <c r="F32" s="20">
        <v>40684.94</v>
      </c>
      <c r="G32" s="4">
        <v>7000</v>
      </c>
      <c r="H32" s="22">
        <f>F32-G32</f>
        <v>33684.94</v>
      </c>
      <c r="I32" s="41"/>
      <c r="L32" s="131"/>
    </row>
    <row r="33" spans="2:15" ht="16.5" thickBot="1">
      <c r="B33" s="48" t="s">
        <v>173</v>
      </c>
      <c r="C33" s="49" t="s">
        <v>191</v>
      </c>
      <c r="D33" s="50" t="s">
        <v>188</v>
      </c>
      <c r="E33" s="98">
        <v>0.57999999999999996</v>
      </c>
      <c r="F33" s="20">
        <f t="shared" si="1"/>
        <v>5899.315846607672</v>
      </c>
      <c r="G33" s="4">
        <f t="shared" ref="G33" si="6">$N$24/$N$25*E33</f>
        <v>5899.315846607672</v>
      </c>
      <c r="H33" s="30">
        <f>F33-G33</f>
        <v>0</v>
      </c>
      <c r="I33" s="41"/>
    </row>
    <row r="34" spans="2:15" ht="16.5" thickBot="1">
      <c r="B34" s="51" t="s">
        <v>177</v>
      </c>
      <c r="C34" s="52"/>
      <c r="D34" s="52"/>
      <c r="E34" s="96">
        <f>SUM(E25:E33)</f>
        <v>20.949999999999996</v>
      </c>
      <c r="F34" s="53">
        <f>SUM(F25:F33)</f>
        <v>213087.36000000007</v>
      </c>
      <c r="G34" s="54">
        <f>SUM(G25:G33)</f>
        <v>179402.42000000007</v>
      </c>
      <c r="H34" s="35">
        <f>SUM(H25:H33)</f>
        <v>33684.94</v>
      </c>
      <c r="I34" s="41"/>
    </row>
    <row r="35" spans="2:15">
      <c r="B35" s="14"/>
      <c r="C35" s="14"/>
      <c r="D35" s="14"/>
      <c r="E35" s="82"/>
      <c r="F35" s="78"/>
      <c r="G35" s="82"/>
      <c r="H35" s="78"/>
      <c r="O35" s="78"/>
    </row>
    <row r="36" spans="2:15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70"/>
      <c r="J36" s="70"/>
    </row>
    <row r="37" spans="2:15" ht="46.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71"/>
      <c r="J37" s="72"/>
      <c r="K37" s="39"/>
      <c r="L37" s="176"/>
      <c r="M37" s="187"/>
      <c r="N37" s="187"/>
    </row>
    <row r="38" spans="2:15">
      <c r="B38" s="88" t="s">
        <v>14</v>
      </c>
      <c r="C38" s="238">
        <f>E38+G38</f>
        <v>1740165.1285504922</v>
      </c>
      <c r="D38" s="239"/>
      <c r="E38" s="263">
        <f>F25+F26+F27+F28+F29+F30+F31+F33+E16</f>
        <v>1416366.5485504924</v>
      </c>
      <c r="F38" s="264"/>
      <c r="G38" s="263">
        <f>F32+G16</f>
        <v>323798.57999999996</v>
      </c>
      <c r="H38" s="265"/>
      <c r="I38" s="73"/>
      <c r="J38" s="74"/>
      <c r="K38" s="7"/>
      <c r="L38" s="179"/>
      <c r="M38" s="188"/>
    </row>
    <row r="39" spans="2:15">
      <c r="B39" s="89" t="s">
        <v>15</v>
      </c>
      <c r="C39" s="235">
        <f>E39+G39</f>
        <v>1677487.9810000001</v>
      </c>
      <c r="D39" s="236"/>
      <c r="E39" s="235">
        <f>E17+178933.31</f>
        <v>1369614.86</v>
      </c>
      <c r="F39" s="236"/>
      <c r="G39" s="235">
        <f>G17+42226.15</f>
        <v>307873.12100000004</v>
      </c>
      <c r="H39" s="237"/>
      <c r="I39" s="73"/>
      <c r="J39" s="74"/>
      <c r="K39" s="9"/>
      <c r="L39" s="179"/>
      <c r="M39" s="188"/>
    </row>
    <row r="40" spans="2:15">
      <c r="B40" s="90" t="s">
        <v>176</v>
      </c>
      <c r="C40" s="235">
        <f>E40+G40</f>
        <v>1530408.5482106775</v>
      </c>
      <c r="D40" s="236"/>
      <c r="E40" s="260">
        <f>G25+G26+G27+G28+G29+G30+G31+G33+E18</f>
        <v>1423170.5482106775</v>
      </c>
      <c r="F40" s="261"/>
      <c r="G40" s="260">
        <f>G32+G18</f>
        <v>107238</v>
      </c>
      <c r="H40" s="262"/>
      <c r="I40" s="73"/>
      <c r="J40" s="74"/>
      <c r="K40" s="41"/>
      <c r="L40" s="156"/>
    </row>
    <row r="41" spans="2:15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73"/>
      <c r="J41" s="74"/>
      <c r="K41" s="41"/>
      <c r="L41" s="156"/>
    </row>
    <row r="42" spans="2:15" ht="25.5" thickBot="1">
      <c r="B42" s="92" t="s">
        <v>275</v>
      </c>
      <c r="C42" s="249">
        <f>E42+G42</f>
        <v>183079.43278932269</v>
      </c>
      <c r="D42" s="250"/>
      <c r="E42" s="251">
        <f>E39+E41-E40</f>
        <v>-17555.688210677356</v>
      </c>
      <c r="F42" s="252"/>
      <c r="G42" s="251">
        <f>G39-G40</f>
        <v>200635.12100000004</v>
      </c>
      <c r="H42" s="253"/>
      <c r="I42" s="73"/>
      <c r="J42" s="74"/>
      <c r="K42" s="41"/>
      <c r="L42" s="156"/>
    </row>
    <row r="43" spans="2:15" ht="27.7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75"/>
      <c r="I43" s="75"/>
      <c r="J43" s="2"/>
      <c r="K43" s="2"/>
      <c r="L43" s="154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59"/>
      <c r="G44" s="259"/>
      <c r="H44" s="75"/>
      <c r="I44" s="75"/>
      <c r="J44" s="2"/>
      <c r="K44" s="2"/>
      <c r="L44" s="154"/>
      <c r="M44" s="186"/>
      <c r="N44" s="186"/>
      <c r="O44" s="2"/>
    </row>
    <row r="45" spans="2:15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75"/>
      <c r="I45" s="75"/>
      <c r="J45" s="2"/>
      <c r="K45" s="2"/>
      <c r="L45" s="154"/>
      <c r="M45" s="186"/>
      <c r="N45" s="186"/>
      <c r="O45" s="2"/>
    </row>
    <row r="46" spans="2:15" ht="9.75" customHeight="1">
      <c r="B46" s="219"/>
      <c r="C46" s="219"/>
      <c r="D46" s="219"/>
      <c r="E46" s="220"/>
      <c r="F46" s="267"/>
      <c r="G46" s="267"/>
      <c r="H46" s="75"/>
      <c r="I46" s="75"/>
    </row>
    <row r="47" spans="2:15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0.5" customHeight="1">
      <c r="B48" s="42"/>
      <c r="C48" s="42"/>
      <c r="D48" s="42"/>
      <c r="E48" s="220"/>
      <c r="F48" s="43"/>
      <c r="G48" s="44"/>
      <c r="H48" s="45"/>
      <c r="I48" s="8"/>
    </row>
    <row r="49" spans="2:9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75"/>
      <c r="I49" s="75"/>
    </row>
    <row r="50" spans="2:9" ht="9.75" customHeight="1">
      <c r="E50" s="220"/>
    </row>
  </sheetData>
  <mergeCells count="60">
    <mergeCell ref="C43:E43"/>
    <mergeCell ref="C45:E45"/>
    <mergeCell ref="C47:E47"/>
    <mergeCell ref="C49:E49"/>
    <mergeCell ref="F45:G45"/>
    <mergeCell ref="F49:G49"/>
    <mergeCell ref="F46:G46"/>
    <mergeCell ref="F47:G47"/>
    <mergeCell ref="F43:G43"/>
    <mergeCell ref="F44:G44"/>
    <mergeCell ref="G42:H42"/>
    <mergeCell ref="E39:F39"/>
    <mergeCell ref="E42:F42"/>
    <mergeCell ref="E41:F41"/>
    <mergeCell ref="G41:H41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C20:D20"/>
    <mergeCell ref="E16:F16"/>
    <mergeCell ref="G16:H16"/>
    <mergeCell ref="E17:F17"/>
    <mergeCell ref="G17:H17"/>
    <mergeCell ref="E20:F20"/>
    <mergeCell ref="G20:H20"/>
    <mergeCell ref="E18:F18"/>
    <mergeCell ref="G18:H18"/>
    <mergeCell ref="E19:F19"/>
    <mergeCell ref="G19:H19"/>
    <mergeCell ref="C15:D15"/>
    <mergeCell ref="C16:D16"/>
    <mergeCell ref="C17:D17"/>
    <mergeCell ref="C18:D18"/>
    <mergeCell ref="C19:D19"/>
    <mergeCell ref="C40:D40"/>
    <mergeCell ref="C41:D41"/>
    <mergeCell ref="C42:D42"/>
    <mergeCell ref="M22:M23"/>
    <mergeCell ref="N22:N23"/>
    <mergeCell ref="C37:D37"/>
    <mergeCell ref="C38:D38"/>
    <mergeCell ref="C39:D39"/>
    <mergeCell ref="B36:H36"/>
    <mergeCell ref="E37:F37"/>
    <mergeCell ref="G37:H37"/>
    <mergeCell ref="E38:F38"/>
    <mergeCell ref="G38:H38"/>
    <mergeCell ref="G39:H39"/>
    <mergeCell ref="E40:F40"/>
    <mergeCell ref="G40:H40"/>
  </mergeCells>
  <printOptions horizontalCentered="1"/>
  <pageMargins left="0.19685039370078741" right="0.19685039370078741" top="0.19685039370078741" bottom="0.31496062992125984" header="0.31496062992125984" footer="0.31496062992125984"/>
  <pageSetup paperSize="9" scale="4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85546875" style="3" customWidth="1"/>
    <col min="3" max="3" width="23" style="78" customWidth="1"/>
    <col min="4" max="4" width="9.85546875" style="78" customWidth="1"/>
    <col min="5" max="5" width="10.28515625" style="78" customWidth="1"/>
    <col min="6" max="6" width="10.28515625" style="3" customWidth="1"/>
    <col min="7" max="8" width="10.42578125" style="3" customWidth="1"/>
    <col min="9" max="9" width="10.7109375" style="3" bestFit="1" customWidth="1"/>
    <col min="10" max="11" width="9.140625" style="3"/>
    <col min="12" max="12" width="9.140625" style="125"/>
    <col min="13" max="13" width="13" style="185" customWidth="1"/>
    <col min="14" max="14" width="14.71093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137</v>
      </c>
      <c r="E5" s="233"/>
    </row>
    <row r="6" spans="1:9">
      <c r="B6" s="8" t="s">
        <v>1</v>
      </c>
      <c r="C6" s="45"/>
      <c r="D6" s="217">
        <v>1983</v>
      </c>
      <c r="E6" s="217"/>
    </row>
    <row r="7" spans="1:9" ht="15.75" hidden="1" customHeight="1" outlineLevel="1">
      <c r="B7" s="8" t="s">
        <v>2</v>
      </c>
      <c r="C7" s="45"/>
      <c r="D7" s="217">
        <v>2</v>
      </c>
      <c r="E7" s="217"/>
    </row>
    <row r="8" spans="1:9" ht="15.75" hidden="1" customHeight="1" outlineLevel="1">
      <c r="B8" s="8" t="s">
        <v>3</v>
      </c>
      <c r="C8" s="45"/>
      <c r="D8" s="217">
        <v>12</v>
      </c>
      <c r="E8" s="217"/>
    </row>
    <row r="9" spans="1:9" ht="30.75" hidden="1" customHeight="1" outlineLevel="1">
      <c r="B9" s="111" t="s">
        <v>4</v>
      </c>
      <c r="C9" s="122"/>
      <c r="D9" s="217" t="s">
        <v>138</v>
      </c>
      <c r="E9" s="217"/>
    </row>
    <row r="10" spans="1:9" collapsed="1">
      <c r="B10" s="8" t="s">
        <v>5</v>
      </c>
      <c r="C10" s="45"/>
      <c r="D10" s="217" t="s">
        <v>253</v>
      </c>
      <c r="E10" s="217"/>
      <c r="I10" s="14"/>
    </row>
    <row r="11" spans="1:9" ht="15.75" hidden="1" customHeight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139</v>
      </c>
      <c r="E12" s="216"/>
      <c r="I12" s="14"/>
    </row>
    <row r="13" spans="1:9" ht="9.7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3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1094782.6132708292</v>
      </c>
      <c r="D16" s="276"/>
      <c r="E16" s="238">
        <v>838089.8632708292</v>
      </c>
      <c r="F16" s="276"/>
      <c r="G16" s="238">
        <v>256692.75</v>
      </c>
      <c r="H16" s="280"/>
      <c r="I16" s="14"/>
    </row>
    <row r="17" spans="2:15">
      <c r="B17" s="89" t="s">
        <v>15</v>
      </c>
      <c r="C17" s="235">
        <v>1076701.3399999999</v>
      </c>
      <c r="D17" s="277"/>
      <c r="E17" s="235">
        <v>825409.13</v>
      </c>
      <c r="F17" s="277"/>
      <c r="G17" s="235">
        <v>251292.20999999996</v>
      </c>
      <c r="H17" s="284"/>
      <c r="I17" s="14"/>
    </row>
    <row r="18" spans="2:15">
      <c r="B18" s="90" t="s">
        <v>176</v>
      </c>
      <c r="C18" s="235">
        <v>1017945.3231161291</v>
      </c>
      <c r="D18" s="277"/>
      <c r="E18" s="235">
        <v>844847.32311612915</v>
      </c>
      <c r="F18" s="277"/>
      <c r="G18" s="235">
        <v>173098</v>
      </c>
      <c r="H18" s="284"/>
      <c r="I18" s="14"/>
    </row>
    <row r="19" spans="2:15" ht="16.5" thickBot="1">
      <c r="B19" s="91" t="s">
        <v>208</v>
      </c>
      <c r="C19" s="269">
        <v>32400</v>
      </c>
      <c r="D19" s="282"/>
      <c r="E19" s="269">
        <v>32400</v>
      </c>
      <c r="F19" s="282"/>
      <c r="G19" s="269">
        <v>0</v>
      </c>
      <c r="H19" s="287"/>
      <c r="I19" s="14"/>
    </row>
    <row r="20" spans="2:15" ht="30" customHeight="1" thickBot="1">
      <c r="B20" s="92" t="s">
        <v>274</v>
      </c>
      <c r="C20" s="249">
        <f>E20+G20</f>
        <v>91156.01688387082</v>
      </c>
      <c r="D20" s="275"/>
      <c r="E20" s="251">
        <f>E17+E19-E18</f>
        <v>12961.806883870857</v>
      </c>
      <c r="F20" s="275"/>
      <c r="G20" s="251">
        <f>G17-G18</f>
        <v>78194.209999999963</v>
      </c>
      <c r="H20" s="285"/>
      <c r="I20" s="14"/>
    </row>
    <row r="21" spans="2:15">
      <c r="B21" s="11"/>
      <c r="C21" s="76"/>
      <c r="D21" s="87"/>
      <c r="E21" s="216"/>
      <c r="I21" s="14"/>
    </row>
    <row r="22" spans="2:15" ht="23.25" customHeight="1" thickBot="1">
      <c r="B22" s="254" t="s">
        <v>302</v>
      </c>
      <c r="C22" s="254"/>
      <c r="D22" s="254"/>
      <c r="E22" s="254"/>
      <c r="F22" s="254"/>
      <c r="G22" s="254"/>
      <c r="H22" s="254"/>
      <c r="L22" s="131"/>
      <c r="M22" s="241" t="s">
        <v>278</v>
      </c>
      <c r="N22" s="241" t="s">
        <v>279</v>
      </c>
    </row>
    <row r="23" spans="2:15" ht="32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L23" s="131"/>
      <c r="M23" s="289"/>
      <c r="N23" s="289"/>
    </row>
    <row r="24" spans="2:15" ht="53.2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M24" s="204">
        <v>121925.96</v>
      </c>
      <c r="N24" s="205">
        <f>M24</f>
        <v>121925.96</v>
      </c>
    </row>
    <row r="25" spans="2:15" ht="45">
      <c r="B25" s="18" t="s">
        <v>178</v>
      </c>
      <c r="C25" s="6" t="s">
        <v>205</v>
      </c>
      <c r="D25" s="19" t="s">
        <v>188</v>
      </c>
      <c r="E25" s="143">
        <v>3.42</v>
      </c>
      <c r="F25" s="20">
        <f>$M$24/$M$25*E25</f>
        <v>22650.015382944057</v>
      </c>
      <c r="G25" s="21">
        <f>$N$24/$N$25*E25</f>
        <v>22650.015382944057</v>
      </c>
      <c r="H25" s="22">
        <f>F25-G25</f>
        <v>0</v>
      </c>
      <c r="I25" s="57"/>
      <c r="J25" s="24"/>
      <c r="K25" s="24"/>
      <c r="L25" s="149"/>
      <c r="M25" s="205">
        <f>E34-E32</f>
        <v>18.409999999999997</v>
      </c>
      <c r="N25" s="205">
        <f>E34-E32</f>
        <v>18.409999999999997</v>
      </c>
      <c r="O25" s="24"/>
    </row>
    <row r="26" spans="2:15" ht="51">
      <c r="B26" s="26" t="s">
        <v>189</v>
      </c>
      <c r="C26" s="6" t="s">
        <v>205</v>
      </c>
      <c r="D26" s="19" t="s">
        <v>188</v>
      </c>
      <c r="E26" s="151">
        <v>3.8</v>
      </c>
      <c r="F26" s="20">
        <f>$M$24/$M$25*E26</f>
        <v>25166.68375882673</v>
      </c>
      <c r="G26" s="4">
        <f>$N$24/$N$25*E26</f>
        <v>25166.68375882673</v>
      </c>
      <c r="H26" s="22">
        <f t="shared" ref="H26:H31" si="0">F26-G26</f>
        <v>0</v>
      </c>
      <c r="I26" s="58"/>
      <c r="J26" s="2"/>
      <c r="K26" s="2"/>
      <c r="L26" s="154"/>
      <c r="M26" s="186"/>
      <c r="N26" s="186"/>
      <c r="O26" s="2"/>
    </row>
    <row r="27" spans="2:15" ht="45">
      <c r="B27" s="27" t="s">
        <v>171</v>
      </c>
      <c r="C27" s="6" t="s">
        <v>205</v>
      </c>
      <c r="D27" s="19" t="s">
        <v>188</v>
      </c>
      <c r="E27" s="151">
        <v>0.35</v>
      </c>
      <c r="F27" s="20">
        <f t="shared" ref="F27:F33" si="1">$M$24/$M$25*E27</f>
        <v>2317.9840304182512</v>
      </c>
      <c r="G27" s="4">
        <f t="shared" ref="G27:G30" si="2">$N$24/$N$25*E27</f>
        <v>2317.9840304182512</v>
      </c>
      <c r="H27" s="22">
        <f t="shared" si="0"/>
        <v>0</v>
      </c>
      <c r="I27" s="41"/>
      <c r="L27" s="131"/>
    </row>
    <row r="28" spans="2:15" ht="25.5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ref="F28" si="3">$M$24/$M$25*E28</f>
        <v>4238.5993699076598</v>
      </c>
      <c r="G28" s="4">
        <f t="shared" ref="G28" si="4">$N$24/$N$25*E28</f>
        <v>4238.5993699076598</v>
      </c>
      <c r="H28" s="22">
        <f t="shared" si="0"/>
        <v>0</v>
      </c>
      <c r="I28" s="41"/>
      <c r="L28" s="131"/>
    </row>
    <row r="29" spans="2:15" ht="51">
      <c r="B29" s="26" t="s">
        <v>179</v>
      </c>
      <c r="C29" s="29" t="s">
        <v>211</v>
      </c>
      <c r="D29" s="19" t="s">
        <v>188</v>
      </c>
      <c r="E29" s="94">
        <v>1.84</v>
      </c>
      <c r="F29" s="20">
        <f t="shared" si="1"/>
        <v>12185.973188484522</v>
      </c>
      <c r="G29" s="4">
        <f t="shared" si="2"/>
        <v>12185.973188484522</v>
      </c>
      <c r="H29" s="22">
        <f t="shared" si="0"/>
        <v>0</v>
      </c>
      <c r="I29" s="41"/>
    </row>
    <row r="30" spans="2:15" ht="231.75" customHeight="1">
      <c r="B30" s="26" t="s">
        <v>204</v>
      </c>
      <c r="C30" s="29" t="s">
        <v>191</v>
      </c>
      <c r="D30" s="19" t="s">
        <v>188</v>
      </c>
      <c r="E30" s="94">
        <v>7</v>
      </c>
      <c r="F30" s="20">
        <f t="shared" si="1"/>
        <v>46359.68060836503</v>
      </c>
      <c r="G30" s="4">
        <f t="shared" si="2"/>
        <v>46359.68060836503</v>
      </c>
      <c r="H30" s="22">
        <f t="shared" si="0"/>
        <v>0</v>
      </c>
      <c r="I30" s="58"/>
      <c r="J30" s="2"/>
      <c r="K30" s="2"/>
      <c r="L30" s="159"/>
      <c r="M30" s="186"/>
      <c r="N30" s="186"/>
    </row>
    <row r="31" spans="2:15" ht="121.5" customHeight="1">
      <c r="B31" s="26" t="s">
        <v>192</v>
      </c>
      <c r="C31" s="6" t="s">
        <v>205</v>
      </c>
      <c r="D31" s="19" t="s">
        <v>188</v>
      </c>
      <c r="E31" s="94">
        <v>0.3</v>
      </c>
      <c r="F31" s="20">
        <f t="shared" si="1"/>
        <v>1986.8434546442154</v>
      </c>
      <c r="G31" s="4">
        <f t="shared" ref="G31" si="5">$N$24/$N$25*E31</f>
        <v>1986.8434546442154</v>
      </c>
      <c r="H31" s="22">
        <f t="shared" si="0"/>
        <v>0</v>
      </c>
      <c r="I31" s="41"/>
    </row>
    <row r="32" spans="2:15" ht="45">
      <c r="B32" s="27" t="s">
        <v>193</v>
      </c>
      <c r="C32" s="6" t="s">
        <v>205</v>
      </c>
      <c r="D32" s="19" t="s">
        <v>188</v>
      </c>
      <c r="E32" s="94">
        <v>4</v>
      </c>
      <c r="F32" s="20">
        <v>26491.24</v>
      </c>
      <c r="G32" s="4">
        <v>77677</v>
      </c>
      <c r="H32" s="22">
        <f>F32-G32</f>
        <v>-51185.759999999995</v>
      </c>
      <c r="I32" s="41"/>
      <c r="L32" s="131"/>
    </row>
    <row r="33" spans="2:15" ht="16.5" thickBot="1">
      <c r="B33" s="48" t="s">
        <v>173</v>
      </c>
      <c r="C33" s="49" t="s">
        <v>191</v>
      </c>
      <c r="D33" s="50" t="s">
        <v>188</v>
      </c>
      <c r="E33" s="98">
        <v>1.06</v>
      </c>
      <c r="F33" s="20">
        <f t="shared" si="1"/>
        <v>7020.1802064095618</v>
      </c>
      <c r="G33" s="4">
        <f t="shared" ref="G33" si="6">$N$24/$N$25*E33</f>
        <v>7020.1802064095618</v>
      </c>
      <c r="H33" s="30">
        <f>F33-G33</f>
        <v>0</v>
      </c>
      <c r="I33" s="41"/>
    </row>
    <row r="34" spans="2:15" ht="16.5" thickBot="1">
      <c r="B34" s="51" t="s">
        <v>177</v>
      </c>
      <c r="C34" s="52"/>
      <c r="D34" s="52"/>
      <c r="E34" s="96">
        <f>SUM(E25:E33)</f>
        <v>22.409999999999997</v>
      </c>
      <c r="F34" s="53">
        <f>SUM(F25:F33)</f>
        <v>148417.20000000004</v>
      </c>
      <c r="G34" s="54">
        <f>SUM(G25:G33)</f>
        <v>199602.96000000005</v>
      </c>
      <c r="H34" s="35">
        <f>SUM(H25:H33)</f>
        <v>-51185.759999999995</v>
      </c>
      <c r="I34" s="41"/>
    </row>
    <row r="35" spans="2:15">
      <c r="B35" s="14"/>
      <c r="C35" s="14"/>
      <c r="D35" s="14"/>
      <c r="E35" s="82"/>
      <c r="F35" s="78"/>
      <c r="G35" s="82"/>
      <c r="H35" s="78"/>
      <c r="O35" s="78"/>
    </row>
    <row r="36" spans="2:15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70"/>
      <c r="J36" s="70"/>
    </row>
    <row r="37" spans="2:15" ht="46.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71"/>
      <c r="J37" s="72"/>
      <c r="K37" s="39"/>
      <c r="L37" s="176"/>
      <c r="M37" s="187"/>
      <c r="N37" s="187"/>
    </row>
    <row r="38" spans="2:15">
      <c r="B38" s="88" t="s">
        <v>14</v>
      </c>
      <c r="C38" s="238">
        <f>E38+G38</f>
        <v>1243199.8132708292</v>
      </c>
      <c r="D38" s="276"/>
      <c r="E38" s="238">
        <f>F25+F26+F27+F28+F29+F30+F31+F33+E16</f>
        <v>960015.82327082928</v>
      </c>
      <c r="F38" s="276"/>
      <c r="G38" s="238">
        <f>F32+G16</f>
        <v>283183.99</v>
      </c>
      <c r="H38" s="280"/>
      <c r="I38" s="73"/>
      <c r="J38" s="74"/>
      <c r="K38" s="7"/>
      <c r="L38" s="179"/>
      <c r="M38" s="188"/>
    </row>
    <row r="39" spans="2:15">
      <c r="B39" s="89" t="s">
        <v>15</v>
      </c>
      <c r="C39" s="235">
        <f>E39+G39</f>
        <v>1252549.28</v>
      </c>
      <c r="D39" s="277"/>
      <c r="E39" s="235">
        <f>E17+144460.53</f>
        <v>969869.66</v>
      </c>
      <c r="F39" s="277"/>
      <c r="G39" s="235">
        <f>G17+31387.41</f>
        <v>282679.61999999994</v>
      </c>
      <c r="H39" s="284"/>
      <c r="I39" s="73"/>
      <c r="J39" s="74"/>
      <c r="K39" s="9"/>
      <c r="L39" s="179"/>
      <c r="M39" s="188"/>
    </row>
    <row r="40" spans="2:15">
      <c r="B40" s="90" t="s">
        <v>176</v>
      </c>
      <c r="C40" s="235">
        <f>E40+G40</f>
        <v>1217548.2831161292</v>
      </c>
      <c r="D40" s="277"/>
      <c r="E40" s="235">
        <f>G25+G26+G27+G28+G29+G30+G31+G33+E18</f>
        <v>966773.28311612923</v>
      </c>
      <c r="F40" s="277"/>
      <c r="G40" s="235">
        <f>G32+G18</f>
        <v>250775</v>
      </c>
      <c r="H40" s="284"/>
      <c r="I40" s="73"/>
      <c r="J40" s="74"/>
      <c r="K40" s="41"/>
      <c r="L40" s="156"/>
    </row>
    <row r="41" spans="2:15" ht="16.5" thickBot="1">
      <c r="B41" s="91" t="s">
        <v>208</v>
      </c>
      <c r="C41" s="269">
        <f>E41+G41</f>
        <v>36000</v>
      </c>
      <c r="D41" s="282"/>
      <c r="E41" s="269">
        <f>E19+3600</f>
        <v>36000</v>
      </c>
      <c r="F41" s="282"/>
      <c r="G41" s="269">
        <f>G19</f>
        <v>0</v>
      </c>
      <c r="H41" s="287"/>
      <c r="I41" s="73"/>
      <c r="J41" s="74"/>
      <c r="K41" s="41"/>
      <c r="L41" s="156"/>
    </row>
    <row r="42" spans="2:15" ht="36.75" thickBot="1">
      <c r="B42" s="92" t="s">
        <v>275</v>
      </c>
      <c r="C42" s="249">
        <f>E42+G42</f>
        <v>71000.996883870743</v>
      </c>
      <c r="D42" s="275"/>
      <c r="E42" s="251">
        <f>E39+E41-E40</f>
        <v>39096.376883870806</v>
      </c>
      <c r="F42" s="275"/>
      <c r="G42" s="251">
        <f>G39-G40</f>
        <v>31904.619999999937</v>
      </c>
      <c r="H42" s="285"/>
      <c r="I42" s="73"/>
      <c r="J42" s="74"/>
      <c r="K42" s="41"/>
      <c r="L42" s="156"/>
    </row>
    <row r="43" spans="2:15" ht="27.75" customHeight="1">
      <c r="B43" s="219" t="s">
        <v>167</v>
      </c>
      <c r="C43" s="288" t="s">
        <v>284</v>
      </c>
      <c r="D43" s="288"/>
      <c r="E43" s="288"/>
      <c r="F43" s="267" t="s">
        <v>293</v>
      </c>
      <c r="G43" s="267"/>
      <c r="H43" s="75"/>
      <c r="I43" s="75"/>
      <c r="J43" s="2"/>
      <c r="K43" s="2"/>
      <c r="L43" s="154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59"/>
      <c r="G44" s="259"/>
      <c r="H44" s="75"/>
      <c r="I44" s="75"/>
      <c r="J44" s="2"/>
      <c r="K44" s="2"/>
      <c r="L44" s="154"/>
      <c r="M44" s="186"/>
      <c r="N44" s="186"/>
      <c r="O44" s="2"/>
    </row>
    <row r="45" spans="2:15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75"/>
      <c r="I45" s="75"/>
      <c r="J45" s="2"/>
      <c r="K45" s="2"/>
      <c r="L45" s="154"/>
      <c r="M45" s="186"/>
      <c r="N45" s="186"/>
      <c r="O45" s="2"/>
    </row>
    <row r="46" spans="2:15" ht="9.75" customHeight="1">
      <c r="B46" s="219"/>
      <c r="C46" s="219"/>
      <c r="D46" s="219"/>
      <c r="E46" s="220"/>
      <c r="F46" s="267"/>
      <c r="G46" s="267"/>
      <c r="H46" s="75"/>
      <c r="I46" s="75"/>
    </row>
    <row r="47" spans="2:15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0.5" customHeight="1">
      <c r="B48" s="42"/>
      <c r="C48" s="42"/>
      <c r="D48" s="42"/>
      <c r="E48" s="220"/>
      <c r="F48" s="43"/>
      <c r="G48" s="44"/>
      <c r="H48" s="45"/>
      <c r="I48" s="8"/>
    </row>
    <row r="49" spans="2:9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75"/>
      <c r="I49" s="75"/>
    </row>
    <row r="50" spans="2:9" ht="9.75" customHeight="1">
      <c r="E50" s="220"/>
    </row>
  </sheetData>
  <mergeCells count="60">
    <mergeCell ref="C47:E47"/>
    <mergeCell ref="C49:E49"/>
    <mergeCell ref="F47:G47"/>
    <mergeCell ref="F49:G49"/>
    <mergeCell ref="C40:D40"/>
    <mergeCell ref="C41:D41"/>
    <mergeCell ref="C42:D42"/>
    <mergeCell ref="F45:G45"/>
    <mergeCell ref="F46:G46"/>
    <mergeCell ref="F44:G44"/>
    <mergeCell ref="E40:F40"/>
    <mergeCell ref="G40:H40"/>
    <mergeCell ref="G42:H42"/>
    <mergeCell ref="F43:G43"/>
    <mergeCell ref="E42:F42"/>
    <mergeCell ref="E41:F41"/>
    <mergeCell ref="G41:H41"/>
    <mergeCell ref="C43:E43"/>
    <mergeCell ref="C45:E45"/>
    <mergeCell ref="E38:F38"/>
    <mergeCell ref="G38:H38"/>
    <mergeCell ref="E39:F39"/>
    <mergeCell ref="G39:H39"/>
    <mergeCell ref="C38:D38"/>
    <mergeCell ref="C39:D39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E18:F18"/>
    <mergeCell ref="G18:H18"/>
    <mergeCell ref="E19:F19"/>
    <mergeCell ref="G19:H19"/>
    <mergeCell ref="C19:D19"/>
    <mergeCell ref="C20:D20"/>
    <mergeCell ref="E37:F37"/>
    <mergeCell ref="G37:H37"/>
    <mergeCell ref="C37:D37"/>
    <mergeCell ref="D5:E5"/>
    <mergeCell ref="B14:H14"/>
    <mergeCell ref="E15:F15"/>
    <mergeCell ref="G15:H15"/>
    <mergeCell ref="C15:D15"/>
    <mergeCell ref="E16:F16"/>
    <mergeCell ref="G16:H16"/>
    <mergeCell ref="E17:F17"/>
    <mergeCell ref="G17:H17"/>
    <mergeCell ref="C16:D16"/>
    <mergeCell ref="C17:D17"/>
    <mergeCell ref="C18:D18"/>
    <mergeCell ref="M22:M23"/>
    <mergeCell ref="N22:N23"/>
    <mergeCell ref="E20:F20"/>
    <mergeCell ref="G20:H20"/>
    <mergeCell ref="B36:H36"/>
  </mergeCells>
  <printOptions horizontalCentered="1"/>
  <pageMargins left="0.23622047244094491" right="0.19685039370078741" top="0.15748031496062992" bottom="0.23622047244094491" header="0.31496062992125984" footer="0.23622047244094491"/>
  <pageSetup paperSize="9" scale="4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9"/>
  <sheetViews>
    <sheetView topLeftCell="A31" zoomScale="110" zoomScaleNormal="110" workbookViewId="0">
      <selection activeCell="B1" sqref="B1:H48"/>
    </sheetView>
  </sheetViews>
  <sheetFormatPr defaultColWidth="9.140625" defaultRowHeight="15.75" outlineLevelRow="1"/>
  <cols>
    <col min="1" max="1" width="2.85546875" style="3" customWidth="1"/>
    <col min="2" max="2" width="56.7109375" style="3" customWidth="1"/>
    <col min="3" max="3" width="21.140625" style="78" customWidth="1"/>
    <col min="4" max="4" width="8.42578125" style="78" customWidth="1"/>
    <col min="5" max="5" width="10.28515625" style="78" customWidth="1"/>
    <col min="6" max="6" width="11" style="3" customWidth="1"/>
    <col min="7" max="7" width="13" style="3" customWidth="1"/>
    <col min="8" max="8" width="10.5703125" style="3" customWidth="1"/>
    <col min="9" max="9" width="10.7109375" style="3" bestFit="1" customWidth="1"/>
    <col min="10" max="12" width="9.140625" style="3"/>
    <col min="13" max="13" width="14.140625" style="185" customWidth="1"/>
    <col min="14" max="14" width="13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4.2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141</v>
      </c>
      <c r="E5" s="233"/>
    </row>
    <row r="6" spans="1:9">
      <c r="B6" s="8" t="s">
        <v>1</v>
      </c>
      <c r="C6" s="45"/>
      <c r="D6" s="217">
        <v>1985</v>
      </c>
      <c r="E6" s="217"/>
    </row>
    <row r="7" spans="1:9" hidden="1" outlineLevel="1">
      <c r="B7" s="8" t="s">
        <v>2</v>
      </c>
      <c r="C7" s="45"/>
      <c r="D7" s="217">
        <v>3</v>
      </c>
      <c r="E7" s="217"/>
    </row>
    <row r="8" spans="1:9" hidden="1" outlineLevel="1">
      <c r="B8" s="8" t="s">
        <v>3</v>
      </c>
      <c r="C8" s="45"/>
      <c r="D8" s="217">
        <v>23</v>
      </c>
      <c r="E8" s="217"/>
    </row>
    <row r="9" spans="1:9" ht="30.75" hidden="1" customHeight="1" outlineLevel="1">
      <c r="B9" s="111" t="s">
        <v>4</v>
      </c>
      <c r="C9" s="122"/>
      <c r="D9" s="217" t="s">
        <v>142</v>
      </c>
      <c r="E9" s="217"/>
    </row>
    <row r="10" spans="1:9" collapsed="1">
      <c r="B10" s="8" t="s">
        <v>5</v>
      </c>
      <c r="C10" s="45"/>
      <c r="D10" s="217" t="s">
        <v>254</v>
      </c>
      <c r="E10" s="217"/>
      <c r="I10" s="14"/>
    </row>
    <row r="11" spans="1:9" ht="30.75" hidden="1" customHeight="1" outlineLevel="1">
      <c r="B11" s="11" t="s">
        <v>7</v>
      </c>
      <c r="C11" s="76"/>
      <c r="D11" s="87" t="s">
        <v>143</v>
      </c>
      <c r="E11" s="216"/>
      <c r="I11" s="14"/>
    </row>
    <row r="12" spans="1:9" ht="8.25" customHeight="1" collapsed="1"/>
    <row r="13" spans="1:9" ht="16.5" thickBot="1">
      <c r="B13" s="234" t="s">
        <v>295</v>
      </c>
      <c r="C13" s="234"/>
      <c r="D13" s="234"/>
      <c r="E13" s="234"/>
      <c r="F13" s="234"/>
      <c r="G13" s="234"/>
      <c r="H13" s="234"/>
    </row>
    <row r="14" spans="1:9" ht="48" customHeight="1" thickBot="1">
      <c r="B14" s="202" t="s">
        <v>296</v>
      </c>
      <c r="C14" s="225" t="s">
        <v>194</v>
      </c>
      <c r="D14" s="226"/>
      <c r="E14" s="227" t="s">
        <v>8</v>
      </c>
      <c r="F14" s="228"/>
      <c r="G14" s="227" t="s">
        <v>9</v>
      </c>
      <c r="H14" s="229"/>
    </row>
    <row r="15" spans="1:9">
      <c r="B15" s="88" t="s">
        <v>14</v>
      </c>
      <c r="C15" s="238">
        <v>2103800.5019373195</v>
      </c>
      <c r="D15" s="273"/>
      <c r="E15" s="263">
        <v>1720328.8119373193</v>
      </c>
      <c r="F15" s="264"/>
      <c r="G15" s="263">
        <v>383471.69</v>
      </c>
      <c r="H15" s="265"/>
    </row>
    <row r="16" spans="1:9">
      <c r="B16" s="89" t="s">
        <v>15</v>
      </c>
      <c r="C16" s="235">
        <v>2032204.6200000003</v>
      </c>
      <c r="D16" s="236"/>
      <c r="E16" s="235">
        <v>1664145.5900000003</v>
      </c>
      <c r="F16" s="236"/>
      <c r="G16" s="235">
        <v>368059.03</v>
      </c>
      <c r="H16" s="237"/>
    </row>
    <row r="17" spans="2:15">
      <c r="B17" s="90" t="s">
        <v>176</v>
      </c>
      <c r="C17" s="235">
        <v>2107063.3105012733</v>
      </c>
      <c r="D17" s="236"/>
      <c r="E17" s="260">
        <v>1734080.3105012733</v>
      </c>
      <c r="F17" s="261"/>
      <c r="G17" s="260">
        <v>372983</v>
      </c>
      <c r="H17" s="262"/>
    </row>
    <row r="18" spans="2:15" ht="16.5" thickBot="1">
      <c r="B18" s="91" t="s">
        <v>208</v>
      </c>
      <c r="C18" s="235">
        <v>32400</v>
      </c>
      <c r="D18" s="236"/>
      <c r="E18" s="269">
        <v>32400</v>
      </c>
      <c r="F18" s="270"/>
      <c r="G18" s="269">
        <v>0</v>
      </c>
      <c r="H18" s="271"/>
    </row>
    <row r="19" spans="2:15" ht="30" customHeight="1" thickBot="1">
      <c r="B19" s="92" t="s">
        <v>274</v>
      </c>
      <c r="C19" s="249">
        <f>E19+G19</f>
        <v>-42458.690501272911</v>
      </c>
      <c r="D19" s="250"/>
      <c r="E19" s="251">
        <f>E16+E18-E17</f>
        <v>-37534.720501272939</v>
      </c>
      <c r="F19" s="252"/>
      <c r="G19" s="251">
        <f>G16-G17</f>
        <v>-4923.9699999999721</v>
      </c>
      <c r="H19" s="253"/>
    </row>
    <row r="21" spans="2:15" ht="22.5" customHeight="1" collapsed="1" thickBot="1">
      <c r="B21" s="254" t="s">
        <v>302</v>
      </c>
      <c r="C21" s="254"/>
      <c r="D21" s="254"/>
      <c r="E21" s="254"/>
      <c r="F21" s="254"/>
      <c r="G21" s="254"/>
      <c r="H21" s="254"/>
      <c r="L21" s="14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4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241320.1</v>
      </c>
      <c r="N23" s="204">
        <f>M23</f>
        <v>241320.1</v>
      </c>
    </row>
    <row r="24" spans="2:15" ht="56.25">
      <c r="B24" s="18" t="s">
        <v>178</v>
      </c>
      <c r="C24" s="6" t="s">
        <v>205</v>
      </c>
      <c r="D24" s="19" t="s">
        <v>188</v>
      </c>
      <c r="E24" s="143">
        <v>3.42</v>
      </c>
      <c r="F24" s="20">
        <f>$M$23/$M$24*E24</f>
        <v>47733.646153846152</v>
      </c>
      <c r="G24" s="21">
        <f>$N$23/$N$24*E24</f>
        <v>47733.646153846152</v>
      </c>
      <c r="H24" s="22">
        <f>F24-G24</f>
        <v>0</v>
      </c>
      <c r="I24" s="57"/>
      <c r="J24" s="24"/>
      <c r="K24" s="24"/>
      <c r="L24" s="25"/>
      <c r="M24" s="205">
        <f>E33-E31</f>
        <v>17.29</v>
      </c>
      <c r="N24" s="205">
        <f>E33-E31</f>
        <v>17.29</v>
      </c>
      <c r="O24" s="24"/>
    </row>
    <row r="25" spans="2:15" ht="56.25">
      <c r="B25" s="26" t="s">
        <v>189</v>
      </c>
      <c r="C25" s="6" t="s">
        <v>205</v>
      </c>
      <c r="D25" s="19" t="s">
        <v>188</v>
      </c>
      <c r="E25" s="151">
        <v>3.8</v>
      </c>
      <c r="F25" s="20">
        <f>$M$23/$M$24*E25</f>
        <v>53037.384615384617</v>
      </c>
      <c r="G25" s="4">
        <f>$N$23/$N$24*E25</f>
        <v>53037.384615384617</v>
      </c>
      <c r="H25" s="22">
        <f t="shared" ref="H25:H30" si="0">F25-G25</f>
        <v>0</v>
      </c>
      <c r="I25" s="58"/>
      <c r="J25" s="2"/>
      <c r="K25" s="2"/>
      <c r="L25" s="2"/>
      <c r="M25" s="186"/>
      <c r="N25" s="186"/>
      <c r="O25" s="2"/>
    </row>
    <row r="26" spans="2:15" ht="56.25">
      <c r="B26" s="27" t="s">
        <v>171</v>
      </c>
      <c r="C26" s="6" t="s">
        <v>205</v>
      </c>
      <c r="D26" s="19" t="s">
        <v>188</v>
      </c>
      <c r="E26" s="151">
        <v>0.35</v>
      </c>
      <c r="F26" s="20">
        <f t="shared" ref="F26:F32" si="1">$M$23/$M$24*E26</f>
        <v>4885.0222672064774</v>
      </c>
      <c r="G26" s="4">
        <f t="shared" ref="G26:G29" si="2">$N$23/$N$24*E26</f>
        <v>4885.0222672064774</v>
      </c>
      <c r="H26" s="22">
        <f t="shared" si="0"/>
        <v>0</v>
      </c>
      <c r="I26" s="41"/>
      <c r="L26" s="14"/>
    </row>
    <row r="27" spans="2:15" ht="25.5">
      <c r="B27" s="27" t="s">
        <v>172</v>
      </c>
      <c r="C27" s="28" t="s">
        <v>190</v>
      </c>
      <c r="D27" s="19" t="s">
        <v>188</v>
      </c>
      <c r="E27" s="94">
        <v>0.5</v>
      </c>
      <c r="F27" s="20">
        <f t="shared" ref="F27" si="3">$M$23/$M$24*E27</f>
        <v>6978.6032388663971</v>
      </c>
      <c r="G27" s="4">
        <f t="shared" ref="G27" si="4">$N$23/$N$24*E27</f>
        <v>6978.6032388663971</v>
      </c>
      <c r="H27" s="22">
        <f t="shared" si="0"/>
        <v>0</v>
      </c>
      <c r="I27" s="41"/>
      <c r="L27" s="14"/>
    </row>
    <row r="28" spans="2:15" ht="51">
      <c r="B28" s="26" t="s">
        <v>179</v>
      </c>
      <c r="C28" s="29" t="s">
        <v>211</v>
      </c>
      <c r="D28" s="19" t="s">
        <v>188</v>
      </c>
      <c r="E28" s="94">
        <v>1.5</v>
      </c>
      <c r="F28" s="20">
        <f t="shared" si="1"/>
        <v>20935.809716599193</v>
      </c>
      <c r="G28" s="4">
        <f t="shared" si="2"/>
        <v>20935.809716599193</v>
      </c>
      <c r="H28" s="22">
        <f t="shared" si="0"/>
        <v>0</v>
      </c>
      <c r="I28" s="41"/>
    </row>
    <row r="29" spans="2:15" ht="216.75" customHeight="1">
      <c r="B29" s="26" t="s">
        <v>204</v>
      </c>
      <c r="C29" s="29" t="s">
        <v>191</v>
      </c>
      <c r="D29" s="19" t="s">
        <v>188</v>
      </c>
      <c r="E29" s="94">
        <v>6.55</v>
      </c>
      <c r="F29" s="20">
        <f t="shared" si="1"/>
        <v>91419.702429149795</v>
      </c>
      <c r="G29" s="4">
        <f t="shared" si="2"/>
        <v>91419.702429149795</v>
      </c>
      <c r="H29" s="22">
        <f t="shared" si="0"/>
        <v>0</v>
      </c>
      <c r="I29" s="58"/>
      <c r="J29" s="2"/>
      <c r="K29" s="2"/>
      <c r="L29" s="1"/>
      <c r="M29" s="186"/>
      <c r="N29" s="186"/>
    </row>
    <row r="30" spans="2:15" ht="121.5" customHeight="1">
      <c r="B30" s="26" t="s">
        <v>192</v>
      </c>
      <c r="C30" s="6" t="s">
        <v>205</v>
      </c>
      <c r="D30" s="19" t="s">
        <v>188</v>
      </c>
      <c r="E30" s="94">
        <v>0.24</v>
      </c>
      <c r="F30" s="20">
        <f t="shared" si="1"/>
        <v>3349.7295546558703</v>
      </c>
      <c r="G30" s="4">
        <f t="shared" ref="G30" si="5">$N$23/$N$24*E30</f>
        <v>3349.7295546558703</v>
      </c>
      <c r="H30" s="22">
        <f t="shared" si="0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4</v>
      </c>
      <c r="F31" s="20">
        <v>55828.82</v>
      </c>
      <c r="G31" s="4">
        <v>35000</v>
      </c>
      <c r="H31" s="22">
        <f>F31-G31</f>
        <v>20828.82</v>
      </c>
      <c r="I31" s="41"/>
      <c r="L31" s="14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0.93</v>
      </c>
      <c r="F32" s="20">
        <f t="shared" si="1"/>
        <v>12980.202024291499</v>
      </c>
      <c r="G32" s="4">
        <f t="shared" ref="G32" si="6">$N$23/$N$24*E32</f>
        <v>12980.202024291499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21.29</v>
      </c>
      <c r="F33" s="53">
        <f>SUM(F24:F32)</f>
        <v>297148.92000000004</v>
      </c>
      <c r="G33" s="54">
        <f>SUM(G24:G32)</f>
        <v>276320.10000000003</v>
      </c>
      <c r="H33" s="35">
        <f>SUM(H24:H32)</f>
        <v>20828.82</v>
      </c>
      <c r="I33" s="41"/>
    </row>
    <row r="34" spans="2:15">
      <c r="B34" s="14"/>
      <c r="C34" s="14"/>
      <c r="D34" s="14"/>
      <c r="E34" s="82"/>
      <c r="F34" s="78"/>
      <c r="G34" s="82"/>
      <c r="H34" s="78"/>
      <c r="O34" s="78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39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40"/>
      <c r="M36" s="187"/>
      <c r="N36" s="187"/>
    </row>
    <row r="37" spans="2:15">
      <c r="B37" s="88" t="s">
        <v>14</v>
      </c>
      <c r="C37" s="238">
        <f>E37+G37</f>
        <v>2400949.4219373195</v>
      </c>
      <c r="D37" s="239"/>
      <c r="E37" s="263">
        <f>F24+F25+F26+F27+F28+F29+F30+F32+E15</f>
        <v>1961648.9119373194</v>
      </c>
      <c r="F37" s="264"/>
      <c r="G37" s="263">
        <f>F31+G15</f>
        <v>439300.51</v>
      </c>
      <c r="H37" s="265"/>
      <c r="I37" s="73"/>
      <c r="J37" s="74"/>
      <c r="K37" s="7"/>
      <c r="L37" s="7"/>
      <c r="M37" s="188"/>
    </row>
    <row r="38" spans="2:15">
      <c r="B38" s="89" t="s">
        <v>15</v>
      </c>
      <c r="C38" s="235">
        <f>E38+G38</f>
        <v>2304251.6100000003</v>
      </c>
      <c r="D38" s="236"/>
      <c r="E38" s="235">
        <f>E16+220934.36</f>
        <v>1885079.9500000002</v>
      </c>
      <c r="F38" s="236"/>
      <c r="G38" s="235">
        <f>G16+51112.63</f>
        <v>419171.66000000003</v>
      </c>
      <c r="H38" s="237"/>
      <c r="I38" s="73"/>
      <c r="J38" s="74"/>
      <c r="K38" s="9"/>
      <c r="L38" s="7"/>
      <c r="M38" s="188"/>
    </row>
    <row r="39" spans="2:15">
      <c r="B39" s="90" t="s">
        <v>176</v>
      </c>
      <c r="C39" s="235">
        <f>E39+G39</f>
        <v>2383383.4105012733</v>
      </c>
      <c r="D39" s="236"/>
      <c r="E39" s="260">
        <f>G24+G25+G26+G27+G28+G29+G30+G32+E17</f>
        <v>1975400.4105012733</v>
      </c>
      <c r="F39" s="261"/>
      <c r="G39" s="260">
        <f>G31+G17</f>
        <v>407983</v>
      </c>
      <c r="H39" s="262"/>
      <c r="I39" s="73"/>
      <c r="J39" s="74"/>
      <c r="K39" s="41"/>
      <c r="L39" s="41"/>
    </row>
    <row r="40" spans="2:15" ht="16.5" thickBot="1">
      <c r="B40" s="91" t="s">
        <v>208</v>
      </c>
      <c r="C40" s="269">
        <f>E40+G40</f>
        <v>36000</v>
      </c>
      <c r="D40" s="270"/>
      <c r="E40" s="269">
        <f>E18+3600</f>
        <v>36000</v>
      </c>
      <c r="F40" s="270"/>
      <c r="G40" s="269">
        <f>G18</f>
        <v>0</v>
      </c>
      <c r="H40" s="271"/>
      <c r="I40" s="73"/>
      <c r="J40" s="74"/>
      <c r="K40" s="41"/>
      <c r="L40" s="41"/>
    </row>
    <row r="41" spans="2:15" ht="36.75" thickBot="1">
      <c r="B41" s="92" t="s">
        <v>275</v>
      </c>
      <c r="C41" s="249">
        <f>E41+G41</f>
        <v>-43131.80050127313</v>
      </c>
      <c r="D41" s="250"/>
      <c r="E41" s="251">
        <f>E38+E40-E39</f>
        <v>-54320.460501273163</v>
      </c>
      <c r="F41" s="252"/>
      <c r="G41" s="251">
        <f>G38-G39</f>
        <v>11188.660000000033</v>
      </c>
      <c r="H41" s="253"/>
      <c r="I41" s="73"/>
      <c r="J41" s="74"/>
      <c r="K41" s="41"/>
      <c r="L41" s="41"/>
    </row>
    <row r="42" spans="2:15" ht="27.75" customHeight="1">
      <c r="B42" s="219" t="s">
        <v>167</v>
      </c>
      <c r="C42" s="266" t="s">
        <v>284</v>
      </c>
      <c r="D42" s="266"/>
      <c r="E42" s="266"/>
      <c r="F42" s="267" t="s">
        <v>293</v>
      </c>
      <c r="G42" s="267"/>
      <c r="H42" s="75"/>
      <c r="I42" s="75"/>
      <c r="J42" s="2"/>
      <c r="K42" s="2"/>
      <c r="L42" s="2"/>
      <c r="M42" s="186"/>
      <c r="N42" s="186"/>
      <c r="O42" s="2"/>
    </row>
    <row r="43" spans="2:15" ht="9.75" customHeight="1">
      <c r="B43" s="219"/>
      <c r="C43" s="219"/>
      <c r="D43" s="219"/>
      <c r="E43" s="220"/>
      <c r="F43" s="259"/>
      <c r="G43" s="259"/>
      <c r="H43" s="75"/>
      <c r="I43" s="75"/>
      <c r="J43" s="2"/>
      <c r="K43" s="2"/>
      <c r="L43" s="2"/>
      <c r="M43" s="186"/>
      <c r="N43" s="186"/>
      <c r="O43" s="2"/>
    </row>
    <row r="44" spans="2:15">
      <c r="B44" s="219" t="s">
        <v>168</v>
      </c>
      <c r="C44" s="266" t="s">
        <v>284</v>
      </c>
      <c r="D44" s="266"/>
      <c r="E44" s="266"/>
      <c r="F44" s="267" t="s">
        <v>195</v>
      </c>
      <c r="G44" s="267"/>
      <c r="H44" s="75"/>
      <c r="I44" s="75"/>
      <c r="J44" s="2"/>
      <c r="K44" s="2"/>
      <c r="L44" s="2"/>
      <c r="M44" s="186"/>
      <c r="N44" s="186"/>
      <c r="O44" s="2"/>
    </row>
    <row r="45" spans="2:15" ht="9.75" customHeight="1">
      <c r="B45" s="219"/>
      <c r="C45" s="219"/>
      <c r="D45" s="219"/>
      <c r="E45" s="220"/>
      <c r="F45" s="267"/>
      <c r="G45" s="267"/>
      <c r="H45" s="75"/>
      <c r="I45" s="75"/>
    </row>
    <row r="46" spans="2:15">
      <c r="B46" s="219" t="s">
        <v>169</v>
      </c>
      <c r="C46" s="266" t="s">
        <v>284</v>
      </c>
      <c r="D46" s="266"/>
      <c r="E46" s="266"/>
      <c r="F46" s="267" t="s">
        <v>294</v>
      </c>
      <c r="G46" s="267"/>
      <c r="H46" s="75"/>
      <c r="I46" s="75"/>
    </row>
    <row r="47" spans="2:15" ht="10.5" customHeight="1">
      <c r="B47" s="42"/>
      <c r="C47" s="42"/>
      <c r="D47" s="42"/>
      <c r="E47" s="220"/>
      <c r="F47" s="43"/>
      <c r="G47" s="44"/>
      <c r="H47" s="45"/>
      <c r="I47" s="8"/>
    </row>
    <row r="48" spans="2:15">
      <c r="B48" s="219" t="s">
        <v>170</v>
      </c>
      <c r="C48" s="266" t="s">
        <v>284</v>
      </c>
      <c r="D48" s="266"/>
      <c r="E48" s="266"/>
      <c r="F48" s="267" t="s">
        <v>294</v>
      </c>
      <c r="G48" s="267"/>
      <c r="H48" s="75"/>
      <c r="I48" s="75"/>
    </row>
    <row r="49" spans="5:5" ht="9.75" customHeight="1">
      <c r="E49" s="220"/>
    </row>
  </sheetData>
  <mergeCells count="60">
    <mergeCell ref="C42:E42"/>
    <mergeCell ref="C44:E44"/>
    <mergeCell ref="C46:E46"/>
    <mergeCell ref="C48:E48"/>
    <mergeCell ref="F45:G45"/>
    <mergeCell ref="F42:G42"/>
    <mergeCell ref="F43:G43"/>
    <mergeCell ref="F46:G46"/>
    <mergeCell ref="F48:G48"/>
    <mergeCell ref="F44:G44"/>
    <mergeCell ref="E37:F37"/>
    <mergeCell ref="G37:H37"/>
    <mergeCell ref="E38:F38"/>
    <mergeCell ref="G38:H38"/>
    <mergeCell ref="E39:F39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3:H13"/>
    <mergeCell ref="E14:F14"/>
    <mergeCell ref="G14:H14"/>
    <mergeCell ref="C19:D19"/>
    <mergeCell ref="E15:F15"/>
    <mergeCell ref="G15:H15"/>
    <mergeCell ref="E16:F16"/>
    <mergeCell ref="G16:H16"/>
    <mergeCell ref="E19:F19"/>
    <mergeCell ref="G19:H19"/>
    <mergeCell ref="E17:F17"/>
    <mergeCell ref="G17:H17"/>
    <mergeCell ref="E18:F18"/>
    <mergeCell ref="G18:H18"/>
    <mergeCell ref="C14:D14"/>
    <mergeCell ref="C15:D15"/>
    <mergeCell ref="C16:D16"/>
    <mergeCell ref="C17:D17"/>
    <mergeCell ref="C18:D18"/>
    <mergeCell ref="C39:D39"/>
    <mergeCell ref="C40:D40"/>
    <mergeCell ref="C41:D41"/>
    <mergeCell ref="M21:M22"/>
    <mergeCell ref="N21:N22"/>
    <mergeCell ref="C36:D36"/>
    <mergeCell ref="C37:D37"/>
    <mergeCell ref="C38:D38"/>
    <mergeCell ref="G39:H39"/>
    <mergeCell ref="G41:H41"/>
    <mergeCell ref="E40:F40"/>
    <mergeCell ref="G40:H40"/>
    <mergeCell ref="B35:H35"/>
    <mergeCell ref="E36:F36"/>
    <mergeCell ref="G36:H36"/>
    <mergeCell ref="E41:F41"/>
  </mergeCells>
  <printOptions horizontalCentered="1"/>
  <pageMargins left="0.19685039370078741" right="0.19685039370078741" top="0.15748031496062992" bottom="0.23622047244094491" header="0.31496062992125984" footer="0.24"/>
  <pageSetup paperSize="9" scale="50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28515625" style="3" customWidth="1"/>
    <col min="3" max="3" width="21.5703125" style="78" customWidth="1"/>
    <col min="4" max="4" width="8.42578125" style="78" customWidth="1"/>
    <col min="5" max="5" width="10.28515625" style="78" customWidth="1"/>
    <col min="6" max="6" width="10.140625" style="3" customWidth="1"/>
    <col min="7" max="7" width="10.28515625" style="3" customWidth="1"/>
    <col min="8" max="8" width="10.5703125" style="3" customWidth="1"/>
    <col min="9" max="9" width="11.85546875" style="3" customWidth="1"/>
    <col min="10" max="12" width="9.140625" style="3"/>
    <col min="13" max="13" width="13.42578125" style="185" customWidth="1"/>
    <col min="14" max="14" width="13.71093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144</v>
      </c>
      <c r="E5" s="233"/>
    </row>
    <row r="6" spans="1:9">
      <c r="B6" s="8" t="s">
        <v>1</v>
      </c>
      <c r="C6" s="45"/>
      <c r="D6" s="217">
        <v>1990</v>
      </c>
      <c r="E6" s="217"/>
    </row>
    <row r="7" spans="1:9" hidden="1" outlineLevel="1">
      <c r="B7" s="8" t="s">
        <v>2</v>
      </c>
      <c r="C7" s="45"/>
      <c r="D7" s="217">
        <v>4</v>
      </c>
      <c r="E7" s="217"/>
    </row>
    <row r="8" spans="1:9" hidden="1" outlineLevel="1">
      <c r="B8" s="8" t="s">
        <v>3</v>
      </c>
      <c r="C8" s="45"/>
      <c r="D8" s="217">
        <v>30</v>
      </c>
      <c r="E8" s="217"/>
    </row>
    <row r="9" spans="1:9" ht="30.75" hidden="1" customHeight="1" outlineLevel="1">
      <c r="B9" s="111" t="s">
        <v>4</v>
      </c>
      <c r="C9" s="122"/>
      <c r="D9" s="217" t="s">
        <v>145</v>
      </c>
      <c r="E9" s="217"/>
    </row>
    <row r="10" spans="1:9" collapsed="1">
      <c r="B10" s="8" t="s">
        <v>5</v>
      </c>
      <c r="C10" s="45"/>
      <c r="D10" s="217" t="s">
        <v>255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146</v>
      </c>
      <c r="E12" s="216"/>
      <c r="I12" s="14"/>
    </row>
    <row r="13" spans="1:9" ht="10.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8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3580239.4999638963</v>
      </c>
      <c r="D16" s="273"/>
      <c r="E16" s="263">
        <v>2687015.1199638965</v>
      </c>
      <c r="F16" s="264"/>
      <c r="G16" s="263">
        <v>893224.38000000012</v>
      </c>
      <c r="H16" s="265"/>
      <c r="I16" s="14"/>
    </row>
    <row r="17" spans="2:15">
      <c r="B17" s="89" t="s">
        <v>15</v>
      </c>
      <c r="C17" s="235">
        <v>3486012.3699999996</v>
      </c>
      <c r="D17" s="236"/>
      <c r="E17" s="235">
        <v>2620977.2199999997</v>
      </c>
      <c r="F17" s="236"/>
      <c r="G17" s="235">
        <v>865035.14999999991</v>
      </c>
      <c r="H17" s="237"/>
      <c r="I17" s="14"/>
    </row>
    <row r="18" spans="2:15">
      <c r="B18" s="90" t="s">
        <v>176</v>
      </c>
      <c r="C18" s="235">
        <v>3220852.5903419885</v>
      </c>
      <c r="D18" s="236"/>
      <c r="E18" s="260">
        <v>2691990.4903419884</v>
      </c>
      <c r="F18" s="261"/>
      <c r="G18" s="260">
        <v>528862.1</v>
      </c>
      <c r="H18" s="262"/>
      <c r="I18" s="14"/>
    </row>
    <row r="19" spans="2:15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5" ht="30.75" customHeight="1" thickBot="1">
      <c r="B20" s="92" t="s">
        <v>274</v>
      </c>
      <c r="C20" s="249">
        <f>E20+G20</f>
        <v>297559.77965801128</v>
      </c>
      <c r="D20" s="250"/>
      <c r="E20" s="251">
        <f>E17+E19-E18</f>
        <v>-38613.270341988653</v>
      </c>
      <c r="F20" s="252"/>
      <c r="G20" s="251">
        <f>G17-G18</f>
        <v>336173.04999999993</v>
      </c>
      <c r="H20" s="253"/>
      <c r="I20" s="14"/>
    </row>
    <row r="21" spans="2:15">
      <c r="B21" s="11"/>
      <c r="C21" s="76"/>
      <c r="D21" s="87"/>
      <c r="E21" s="216"/>
      <c r="I21" s="14"/>
    </row>
    <row r="22" spans="2:15" ht="24" customHeight="1" thickBot="1">
      <c r="B22" s="254" t="s">
        <v>302</v>
      </c>
      <c r="C22" s="254"/>
      <c r="D22" s="254"/>
      <c r="E22" s="254"/>
      <c r="F22" s="254"/>
      <c r="G22" s="254"/>
      <c r="H22" s="254"/>
      <c r="L22" s="14"/>
      <c r="M22" s="241" t="s">
        <v>278</v>
      </c>
      <c r="N22" s="241" t="s">
        <v>279</v>
      </c>
    </row>
    <row r="23" spans="2:15" ht="32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L23" s="14"/>
      <c r="M23" s="242"/>
      <c r="N23" s="242"/>
    </row>
    <row r="24" spans="2:15" ht="53.2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M24" s="204">
        <v>384697.67</v>
      </c>
      <c r="N24" s="204">
        <f>M24</f>
        <v>384697.67</v>
      </c>
    </row>
    <row r="25" spans="2:15" ht="56.25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69355.088634686341</v>
      </c>
      <c r="G25" s="21">
        <f>$N$24/$N$25*E25</f>
        <v>69355.088634686341</v>
      </c>
      <c r="H25" s="22">
        <f>F25-G25</f>
        <v>0</v>
      </c>
      <c r="I25" s="57"/>
      <c r="J25" s="24"/>
      <c r="K25" s="24"/>
      <c r="L25" s="25"/>
      <c r="M25" s="205">
        <f>E34-E32</f>
        <v>18.97</v>
      </c>
      <c r="N25" s="205">
        <f>E34-E32</f>
        <v>18.97</v>
      </c>
      <c r="O25" s="24"/>
    </row>
    <row r="26" spans="2:15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77061.209594095941</v>
      </c>
      <c r="G26" s="4">
        <f>$N$24/$N$25*E26</f>
        <v>77061.209594095941</v>
      </c>
      <c r="H26" s="22">
        <f t="shared" ref="H26:H31" si="0">F26-G26</f>
        <v>0</v>
      </c>
      <c r="I26" s="58"/>
      <c r="J26" s="2"/>
      <c r="K26" s="2"/>
      <c r="L26" s="2"/>
      <c r="M26" s="186"/>
      <c r="N26" s="186"/>
      <c r="O26" s="2"/>
    </row>
    <row r="27" spans="2:15" ht="56.25">
      <c r="B27" s="27" t="s">
        <v>171</v>
      </c>
      <c r="C27" s="6" t="s">
        <v>205</v>
      </c>
      <c r="D27" s="19" t="s">
        <v>188</v>
      </c>
      <c r="E27" s="94">
        <v>0.35</v>
      </c>
      <c r="F27" s="20">
        <f t="shared" ref="F27:F33" si="1">$M$24/$M$25*E27</f>
        <v>7097.7429889298892</v>
      </c>
      <c r="G27" s="4">
        <f t="shared" ref="G27:G30" si="2">$N$24/$N$25*E27</f>
        <v>7097.7429889298892</v>
      </c>
      <c r="H27" s="22">
        <f t="shared" si="0"/>
        <v>0</v>
      </c>
      <c r="I27" s="41"/>
      <c r="L27" s="14"/>
    </row>
    <row r="28" spans="2:15" ht="25.5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ref="F28" si="3">$M$24/$M$25*E28</f>
        <v>12978.73003690037</v>
      </c>
      <c r="G28" s="4">
        <f t="shared" ref="G28" si="4">$N$24/$N$25*E28</f>
        <v>12978.73003690037</v>
      </c>
      <c r="H28" s="22">
        <f t="shared" si="0"/>
        <v>0</v>
      </c>
      <c r="I28" s="41"/>
      <c r="L28" s="14"/>
    </row>
    <row r="29" spans="2:15" ht="51">
      <c r="B29" s="26" t="s">
        <v>179</v>
      </c>
      <c r="C29" s="29" t="s">
        <v>211</v>
      </c>
      <c r="D29" s="19" t="s">
        <v>188</v>
      </c>
      <c r="E29" s="94">
        <v>1.89</v>
      </c>
      <c r="F29" s="20">
        <f t="shared" si="1"/>
        <v>38327.812140221402</v>
      </c>
      <c r="G29" s="4">
        <f t="shared" si="2"/>
        <v>38327.812140221402</v>
      </c>
      <c r="H29" s="22">
        <f t="shared" si="0"/>
        <v>0</v>
      </c>
      <c r="I29" s="41"/>
    </row>
    <row r="30" spans="2:15" ht="219" customHeight="1">
      <c r="B30" s="26" t="s">
        <v>204</v>
      </c>
      <c r="C30" s="29" t="s">
        <v>191</v>
      </c>
      <c r="D30" s="19" t="s">
        <v>188</v>
      </c>
      <c r="E30" s="94">
        <v>7.17</v>
      </c>
      <c r="F30" s="20">
        <f t="shared" si="1"/>
        <v>145402.33494464945</v>
      </c>
      <c r="G30" s="4">
        <f t="shared" si="2"/>
        <v>145402.33494464945</v>
      </c>
      <c r="H30" s="22">
        <f t="shared" si="0"/>
        <v>0</v>
      </c>
      <c r="I30" s="58"/>
      <c r="J30" s="2"/>
      <c r="K30" s="2"/>
      <c r="L30" s="1"/>
      <c r="M30" s="186"/>
      <c r="N30" s="186"/>
    </row>
    <row r="31" spans="2:15" ht="121.5" customHeight="1">
      <c r="B31" s="26" t="s">
        <v>192</v>
      </c>
      <c r="C31" s="6" t="s">
        <v>205</v>
      </c>
      <c r="D31" s="19" t="s">
        <v>188</v>
      </c>
      <c r="E31" s="94">
        <v>0.32</v>
      </c>
      <c r="F31" s="20">
        <f t="shared" si="1"/>
        <v>6489.3650184501848</v>
      </c>
      <c r="G31" s="4">
        <f t="shared" ref="G31" si="5">$N$24/$N$25*E31</f>
        <v>6489.3650184501848</v>
      </c>
      <c r="H31" s="22">
        <f t="shared" si="0"/>
        <v>0</v>
      </c>
      <c r="I31" s="41"/>
    </row>
    <row r="32" spans="2:15" ht="56.25">
      <c r="B32" s="27" t="s">
        <v>193</v>
      </c>
      <c r="C32" s="6" t="s">
        <v>205</v>
      </c>
      <c r="D32" s="19" t="s">
        <v>188</v>
      </c>
      <c r="E32" s="94">
        <v>4</v>
      </c>
      <c r="F32" s="20">
        <v>81117.06</v>
      </c>
      <c r="G32" s="4">
        <v>6011</v>
      </c>
      <c r="H32" s="22">
        <f>F32-G32</f>
        <v>75106.06</v>
      </c>
      <c r="I32" s="41"/>
      <c r="L32" s="14"/>
    </row>
    <row r="33" spans="2:15" ht="16.5" thickBot="1">
      <c r="B33" s="48" t="s">
        <v>173</v>
      </c>
      <c r="C33" s="49" t="s">
        <v>191</v>
      </c>
      <c r="D33" s="50" t="s">
        <v>188</v>
      </c>
      <c r="E33" s="98">
        <v>1.38</v>
      </c>
      <c r="F33" s="20">
        <f t="shared" si="1"/>
        <v>27985.38664206642</v>
      </c>
      <c r="G33" s="4">
        <f t="shared" ref="G33" si="6">$N$24/$N$25*E33</f>
        <v>27985.38664206642</v>
      </c>
      <c r="H33" s="30">
        <f>F33-G33</f>
        <v>0</v>
      </c>
      <c r="I33" s="41"/>
    </row>
    <row r="34" spans="2:15" ht="16.5" thickBot="1">
      <c r="B34" s="51" t="s">
        <v>177</v>
      </c>
      <c r="C34" s="52"/>
      <c r="D34" s="52"/>
      <c r="E34" s="96">
        <f>SUM(E25:E33)</f>
        <v>22.97</v>
      </c>
      <c r="F34" s="53">
        <f>SUM(F25:F33)</f>
        <v>465814.73000000004</v>
      </c>
      <c r="G34" s="54">
        <f>SUM(G25:G33)</f>
        <v>390708.67000000004</v>
      </c>
      <c r="H34" s="35">
        <f>SUM(H25:H33)</f>
        <v>75106.06</v>
      </c>
      <c r="I34" s="41"/>
    </row>
    <row r="35" spans="2:15">
      <c r="B35" s="14"/>
      <c r="C35" s="14"/>
      <c r="D35" s="14"/>
      <c r="E35" s="82"/>
      <c r="F35" s="78"/>
      <c r="G35" s="82"/>
      <c r="H35" s="78"/>
      <c r="O35" s="78"/>
    </row>
    <row r="36" spans="2:15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70"/>
      <c r="J36" s="70"/>
    </row>
    <row r="37" spans="2:15" ht="43.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71"/>
      <c r="J37" s="72"/>
      <c r="K37" s="39"/>
      <c r="L37" s="40"/>
      <c r="M37" s="187"/>
      <c r="N37" s="187"/>
    </row>
    <row r="38" spans="2:15">
      <c r="B38" s="88" t="s">
        <v>14</v>
      </c>
      <c r="C38" s="238">
        <f>E38+G38</f>
        <v>4046054.2299638968</v>
      </c>
      <c r="D38" s="239"/>
      <c r="E38" s="263">
        <f>F25+F26+F27+F28+F29+F30+F31+F33+E16</f>
        <v>3071712.7899638964</v>
      </c>
      <c r="F38" s="264"/>
      <c r="G38" s="263">
        <f>F32+G16</f>
        <v>974341.44000000018</v>
      </c>
      <c r="H38" s="265"/>
      <c r="I38" s="73"/>
      <c r="J38" s="74"/>
      <c r="K38" s="7"/>
      <c r="L38" s="7"/>
      <c r="M38" s="188"/>
    </row>
    <row r="39" spans="2:15">
      <c r="B39" s="89" t="s">
        <v>15</v>
      </c>
      <c r="C39" s="235">
        <f>E39+G39</f>
        <v>3895521.4499999993</v>
      </c>
      <c r="D39" s="236"/>
      <c r="E39" s="235">
        <f>E17+338197.09</f>
        <v>2959174.3099999996</v>
      </c>
      <c r="F39" s="236"/>
      <c r="G39" s="235">
        <f>G17+71311.99</f>
        <v>936347.1399999999</v>
      </c>
      <c r="H39" s="237"/>
      <c r="I39" s="73"/>
      <c r="J39" s="74"/>
      <c r="K39" s="9"/>
      <c r="L39" s="7"/>
      <c r="M39" s="188"/>
    </row>
    <row r="40" spans="2:15">
      <c r="B40" s="90" t="s">
        <v>176</v>
      </c>
      <c r="C40" s="235">
        <f>E40+G40</f>
        <v>3611561.2603419884</v>
      </c>
      <c r="D40" s="236"/>
      <c r="E40" s="260">
        <f>G25+G26+G27+G28+G29+G30+G31+G33+E18</f>
        <v>3076688.1603419883</v>
      </c>
      <c r="F40" s="261"/>
      <c r="G40" s="260">
        <f>G32+G18</f>
        <v>534873.1</v>
      </c>
      <c r="H40" s="262"/>
      <c r="I40" s="73"/>
      <c r="J40" s="74"/>
      <c r="K40" s="41"/>
      <c r="L40" s="41"/>
    </row>
    <row r="41" spans="2:15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73"/>
      <c r="J41" s="74"/>
      <c r="K41" s="41"/>
      <c r="L41" s="41"/>
    </row>
    <row r="42" spans="2:15" ht="33" customHeight="1" thickBot="1">
      <c r="B42" s="92" t="s">
        <v>275</v>
      </c>
      <c r="C42" s="249">
        <f>E42+G42</f>
        <v>319960.18965801119</v>
      </c>
      <c r="D42" s="250"/>
      <c r="E42" s="251">
        <f>E39+E41-E40</f>
        <v>-81513.850341988727</v>
      </c>
      <c r="F42" s="252"/>
      <c r="G42" s="251">
        <f>G39-G40</f>
        <v>401474.03999999992</v>
      </c>
      <c r="H42" s="253"/>
      <c r="I42" s="73"/>
      <c r="J42" s="74"/>
      <c r="K42" s="41"/>
      <c r="L42" s="41"/>
    </row>
    <row r="43" spans="2:15" ht="27.7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75"/>
      <c r="I43" s="75"/>
      <c r="J43" s="2"/>
      <c r="K43" s="2"/>
      <c r="L43" s="2"/>
      <c r="M43" s="186"/>
      <c r="N43" s="186"/>
      <c r="O43" s="2"/>
    </row>
    <row r="44" spans="2:15" ht="9.75" customHeight="1">
      <c r="B44" s="219"/>
      <c r="C44" s="219"/>
      <c r="D44" s="219"/>
      <c r="E44" s="220"/>
      <c r="F44" s="259"/>
      <c r="G44" s="259"/>
      <c r="H44" s="75"/>
      <c r="I44" s="75"/>
      <c r="J44" s="2"/>
      <c r="K44" s="2"/>
      <c r="L44" s="2"/>
      <c r="M44" s="186"/>
      <c r="N44" s="186"/>
      <c r="O44" s="2"/>
    </row>
    <row r="45" spans="2:15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75"/>
      <c r="I45" s="75"/>
      <c r="J45" s="2"/>
      <c r="K45" s="2"/>
      <c r="L45" s="2"/>
      <c r="M45" s="186"/>
      <c r="N45" s="186"/>
      <c r="O45" s="2"/>
    </row>
    <row r="46" spans="2:15" ht="9.75" customHeight="1">
      <c r="B46" s="219"/>
      <c r="C46" s="219"/>
      <c r="D46" s="219"/>
      <c r="E46" s="220"/>
      <c r="F46" s="267"/>
      <c r="G46" s="267"/>
      <c r="H46" s="75"/>
      <c r="I46" s="75"/>
    </row>
    <row r="47" spans="2:15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10.5" customHeight="1">
      <c r="B48" s="42"/>
      <c r="C48" s="42"/>
      <c r="D48" s="42"/>
      <c r="E48" s="220"/>
      <c r="F48" s="43"/>
      <c r="G48" s="44"/>
      <c r="H48" s="45"/>
      <c r="I48" s="8"/>
    </row>
    <row r="49" spans="2:9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75"/>
      <c r="I49" s="75"/>
    </row>
    <row r="50" spans="2:9" ht="9.75" customHeight="1">
      <c r="E50" s="220"/>
    </row>
  </sheetData>
  <mergeCells count="60">
    <mergeCell ref="G40:H40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C20:D20"/>
    <mergeCell ref="G15:H15"/>
    <mergeCell ref="E16:F16"/>
    <mergeCell ref="F49:G49"/>
    <mergeCell ref="F47:G47"/>
    <mergeCell ref="E41:F41"/>
    <mergeCell ref="G41:H41"/>
    <mergeCell ref="F46:G46"/>
    <mergeCell ref="F44:G44"/>
    <mergeCell ref="E42:F42"/>
    <mergeCell ref="G42:H42"/>
    <mergeCell ref="F45:G45"/>
    <mergeCell ref="F43:G43"/>
    <mergeCell ref="C43:E43"/>
    <mergeCell ref="C45:E45"/>
    <mergeCell ref="C47:E47"/>
    <mergeCell ref="C49:E49"/>
    <mergeCell ref="G16:H16"/>
    <mergeCell ref="E17:F17"/>
    <mergeCell ref="G17:H17"/>
    <mergeCell ref="E20:F20"/>
    <mergeCell ref="G20:H20"/>
    <mergeCell ref="E18:F18"/>
    <mergeCell ref="G18:H18"/>
    <mergeCell ref="E19:F19"/>
    <mergeCell ref="G19:H19"/>
    <mergeCell ref="C15:D15"/>
    <mergeCell ref="C16:D16"/>
    <mergeCell ref="C17:D17"/>
    <mergeCell ref="C18:D18"/>
    <mergeCell ref="C19:D19"/>
    <mergeCell ref="C40:D40"/>
    <mergeCell ref="C41:D41"/>
    <mergeCell ref="C42:D42"/>
    <mergeCell ref="M22:M23"/>
    <mergeCell ref="N22:N23"/>
    <mergeCell ref="C37:D37"/>
    <mergeCell ref="C38:D38"/>
    <mergeCell ref="C39:D39"/>
    <mergeCell ref="B36:H36"/>
    <mergeCell ref="E37:F37"/>
    <mergeCell ref="G37:H37"/>
    <mergeCell ref="E38:F38"/>
    <mergeCell ref="G38:H38"/>
    <mergeCell ref="E39:F39"/>
    <mergeCell ref="G39:H39"/>
    <mergeCell ref="E40:F40"/>
  </mergeCells>
  <printOptions horizontalCentered="1"/>
  <pageMargins left="0.19685039370078741" right="0.19685039370078741" top="0.15748031496062992" bottom="0.27559055118110237" header="0.55118110236220474" footer="0.31496062992125984"/>
  <pageSetup paperSize="9" scale="50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51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5.5703125" style="3" customWidth="1"/>
    <col min="3" max="3" width="21.85546875" style="78" customWidth="1"/>
    <col min="4" max="4" width="8.42578125" style="78" customWidth="1"/>
    <col min="5" max="5" width="10.28515625" style="78" customWidth="1"/>
    <col min="6" max="6" width="10" style="3" customWidth="1"/>
    <col min="7" max="7" width="10.42578125" style="3" customWidth="1"/>
    <col min="8" max="8" width="10.85546875" style="3" customWidth="1"/>
    <col min="9" max="9" width="12.85546875" style="3" customWidth="1"/>
    <col min="10" max="12" width="9.140625" style="3"/>
    <col min="13" max="13" width="14.5703125" style="185" customWidth="1"/>
    <col min="14" max="14" width="14.855468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3.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150</v>
      </c>
      <c r="E5" s="233"/>
    </row>
    <row r="6" spans="1:9">
      <c r="B6" s="8" t="s">
        <v>1</v>
      </c>
      <c r="C6" s="45"/>
      <c r="D6" s="217">
        <v>2007</v>
      </c>
      <c r="E6" s="217"/>
    </row>
    <row r="7" spans="1:9" ht="18" hidden="1" customHeight="1" outlineLevel="1">
      <c r="B7" s="8" t="s">
        <v>2</v>
      </c>
      <c r="C7" s="45"/>
      <c r="D7" s="217">
        <v>3</v>
      </c>
      <c r="E7" s="217"/>
    </row>
    <row r="8" spans="1:9" hidden="1" outlineLevel="1">
      <c r="B8" s="8" t="s">
        <v>3</v>
      </c>
      <c r="C8" s="45"/>
      <c r="D8" s="217">
        <v>24</v>
      </c>
      <c r="E8" s="217"/>
    </row>
    <row r="9" spans="1:9" ht="30.75" hidden="1" customHeight="1" outlineLevel="1">
      <c r="B9" s="111" t="s">
        <v>4</v>
      </c>
      <c r="C9" s="122"/>
      <c r="D9" s="217" t="s">
        <v>151</v>
      </c>
      <c r="E9" s="217"/>
    </row>
    <row r="10" spans="1:9" collapsed="1">
      <c r="B10" s="8" t="s">
        <v>5</v>
      </c>
      <c r="C10" s="45"/>
      <c r="D10" s="217" t="s">
        <v>257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140</v>
      </c>
      <c r="E12" s="216"/>
      <c r="I12" s="14"/>
    </row>
    <row r="13" spans="1:9" ht="8.2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2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2598393.006873453</v>
      </c>
      <c r="D16" s="273"/>
      <c r="E16" s="263">
        <v>2268443.8168734531</v>
      </c>
      <c r="F16" s="264"/>
      <c r="G16" s="263">
        <v>329949.19</v>
      </c>
      <c r="H16" s="265"/>
      <c r="I16" s="14"/>
    </row>
    <row r="17" spans="2:14">
      <c r="B17" s="89" t="s">
        <v>15</v>
      </c>
      <c r="C17" s="235">
        <v>2617131.77</v>
      </c>
      <c r="D17" s="236"/>
      <c r="E17" s="235">
        <v>2290812.94</v>
      </c>
      <c r="F17" s="236"/>
      <c r="G17" s="235">
        <v>326318.83</v>
      </c>
      <c r="H17" s="237"/>
      <c r="I17" s="14"/>
    </row>
    <row r="18" spans="2:14">
      <c r="B18" s="90" t="s">
        <v>176</v>
      </c>
      <c r="C18" s="235">
        <v>2572714.7829114404</v>
      </c>
      <c r="D18" s="236"/>
      <c r="E18" s="260">
        <v>2280383.7829114404</v>
      </c>
      <c r="F18" s="261"/>
      <c r="G18" s="260">
        <v>292331</v>
      </c>
      <c r="H18" s="262"/>
      <c r="I18" s="14"/>
    </row>
    <row r="19" spans="2:14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4" ht="36.75" thickBot="1">
      <c r="B20" s="92" t="s">
        <v>274</v>
      </c>
      <c r="C20" s="249">
        <f>E20+G20</f>
        <v>76816.987088559603</v>
      </c>
      <c r="D20" s="250"/>
      <c r="E20" s="251">
        <f>E17+E19-E18</f>
        <v>42829.157088559587</v>
      </c>
      <c r="F20" s="252"/>
      <c r="G20" s="251">
        <f>G17-G18</f>
        <v>33987.830000000016</v>
      </c>
      <c r="H20" s="253"/>
      <c r="I20" s="14"/>
    </row>
    <row r="21" spans="2:14">
      <c r="B21" s="11"/>
      <c r="C21" s="76"/>
      <c r="D21" s="87"/>
      <c r="E21" s="216"/>
      <c r="I21" s="14"/>
    </row>
    <row r="22" spans="2:14" ht="17.25" customHeight="1" thickBot="1">
      <c r="B22" s="254" t="s">
        <v>302</v>
      </c>
      <c r="C22" s="254"/>
      <c r="D22" s="254"/>
      <c r="E22" s="254"/>
      <c r="F22" s="254"/>
      <c r="G22" s="254"/>
      <c r="H22" s="254"/>
      <c r="L22" s="14"/>
      <c r="M22" s="241" t="s">
        <v>278</v>
      </c>
      <c r="N22" s="241" t="s">
        <v>279</v>
      </c>
    </row>
    <row r="23" spans="2:14" ht="39.7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L23" s="14"/>
      <c r="M23" s="242"/>
      <c r="N23" s="242"/>
    </row>
    <row r="24" spans="2:14" ht="39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M24" s="204">
        <v>314927.15999999997</v>
      </c>
      <c r="N24" s="204">
        <f>M24</f>
        <v>314927.15999999997</v>
      </c>
    </row>
    <row r="25" spans="2:14" ht="49.5" customHeight="1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56926.579661733609</v>
      </c>
      <c r="G25" s="21">
        <f>$N$24/$N$25*E25</f>
        <v>56926.579661733609</v>
      </c>
      <c r="H25" s="22">
        <f>F25-G25</f>
        <v>0</v>
      </c>
      <c r="I25" s="57"/>
      <c r="J25" s="24"/>
      <c r="K25" s="24"/>
      <c r="L25" s="25"/>
      <c r="M25" s="205">
        <f>E34-E32</f>
        <v>18.919999999999998</v>
      </c>
      <c r="N25" s="205">
        <f>E34-E32</f>
        <v>18.919999999999998</v>
      </c>
    </row>
    <row r="26" spans="2:14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63251.755179704007</v>
      </c>
      <c r="G26" s="21">
        <f>$N$24/$N$25*E26</f>
        <v>63251.755179704007</v>
      </c>
      <c r="H26" s="22">
        <f t="shared" ref="H26:H31" si="0">F26-G26</f>
        <v>0</v>
      </c>
      <c r="I26" s="58"/>
      <c r="J26" s="2"/>
      <c r="K26" s="2"/>
      <c r="L26" s="2"/>
      <c r="M26" s="186"/>
      <c r="N26" s="186"/>
    </row>
    <row r="27" spans="2:14" ht="51.75" customHeight="1">
      <c r="B27" s="27" t="s">
        <v>171</v>
      </c>
      <c r="C27" s="6" t="s">
        <v>205</v>
      </c>
      <c r="D27" s="19" t="s">
        <v>188</v>
      </c>
      <c r="E27" s="94">
        <v>0.35</v>
      </c>
      <c r="F27" s="20">
        <f t="shared" ref="F27:F33" si="1">$M$24/$M$25*E27</f>
        <v>5825.8195560253689</v>
      </c>
      <c r="G27" s="21">
        <f t="shared" ref="G27:G30" si="2">$N$24/$N$25*E27</f>
        <v>5825.8195560253689</v>
      </c>
      <c r="H27" s="22">
        <f t="shared" si="0"/>
        <v>0</v>
      </c>
      <c r="I27" s="41"/>
      <c r="L27" s="14"/>
    </row>
    <row r="28" spans="2:14" ht="25.5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ref="F28" si="3">$M$24/$M$25*E28</f>
        <v>10652.927188160676</v>
      </c>
      <c r="G28" s="21">
        <f t="shared" ref="G28" si="4">$N$24/$N$25*E28</f>
        <v>10652.927188160676</v>
      </c>
      <c r="H28" s="22">
        <f t="shared" si="0"/>
        <v>0</v>
      </c>
      <c r="I28" s="41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1.89</v>
      </c>
      <c r="F29" s="20">
        <f t="shared" si="1"/>
        <v>31459.425602536994</v>
      </c>
      <c r="G29" s="21">
        <f t="shared" si="2"/>
        <v>31459.425602536994</v>
      </c>
      <c r="H29" s="22">
        <f t="shared" si="0"/>
        <v>0</v>
      </c>
      <c r="I29" s="41"/>
    </row>
    <row r="30" spans="2:14" ht="241.5" customHeight="1">
      <c r="B30" s="26" t="s">
        <v>204</v>
      </c>
      <c r="C30" s="29" t="s">
        <v>191</v>
      </c>
      <c r="D30" s="19" t="s">
        <v>188</v>
      </c>
      <c r="E30" s="94">
        <v>7.17</v>
      </c>
      <c r="F30" s="20">
        <f t="shared" si="1"/>
        <v>119346.07490486257</v>
      </c>
      <c r="G30" s="21">
        <f t="shared" si="2"/>
        <v>119346.07490486257</v>
      </c>
      <c r="H30" s="22">
        <f t="shared" si="0"/>
        <v>0</v>
      </c>
      <c r="I30" s="58"/>
      <c r="J30" s="2"/>
      <c r="K30" s="2"/>
      <c r="L30" s="1"/>
      <c r="M30" s="186"/>
      <c r="N30" s="186"/>
    </row>
    <row r="31" spans="2:14" ht="129.75" customHeight="1">
      <c r="B31" s="26" t="s">
        <v>192</v>
      </c>
      <c r="C31" s="6" t="s">
        <v>205</v>
      </c>
      <c r="D31" s="19" t="s">
        <v>188</v>
      </c>
      <c r="E31" s="94">
        <v>0.27</v>
      </c>
      <c r="F31" s="20">
        <f t="shared" si="1"/>
        <v>4494.2036575052853</v>
      </c>
      <c r="G31" s="21">
        <f t="shared" ref="G31" si="5">$N$24/$N$25*E31</f>
        <v>4494.2036575052853</v>
      </c>
      <c r="H31" s="22">
        <f t="shared" si="0"/>
        <v>0</v>
      </c>
      <c r="I31" s="41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</v>
      </c>
      <c r="F32" s="20">
        <v>66580.800000000003</v>
      </c>
      <c r="G32" s="4">
        <v>3362</v>
      </c>
      <c r="H32" s="22">
        <f>F32-G32</f>
        <v>63218.8</v>
      </c>
      <c r="I32" s="41"/>
      <c r="L32" s="14"/>
    </row>
    <row r="33" spans="2:14" ht="16.5" thickBot="1">
      <c r="B33" s="48" t="s">
        <v>173</v>
      </c>
      <c r="C33" s="49" t="s">
        <v>191</v>
      </c>
      <c r="D33" s="50" t="s">
        <v>188</v>
      </c>
      <c r="E33" s="98">
        <v>1.38</v>
      </c>
      <c r="F33" s="20">
        <f t="shared" si="1"/>
        <v>22970.374249471453</v>
      </c>
      <c r="G33" s="21">
        <f t="shared" ref="G33" si="6">$N$24/$N$25*E33</f>
        <v>22970.374249471453</v>
      </c>
      <c r="H33" s="30">
        <f>F33-G33</f>
        <v>0</v>
      </c>
      <c r="I33" s="41"/>
    </row>
    <row r="34" spans="2:14" ht="16.5" thickBot="1">
      <c r="B34" s="51" t="s">
        <v>177</v>
      </c>
      <c r="C34" s="52"/>
      <c r="D34" s="52"/>
      <c r="E34" s="96">
        <f>SUM(E25:E33)</f>
        <v>22.919999999999998</v>
      </c>
      <c r="F34" s="53">
        <f>SUM(F25:F33)</f>
        <v>381507.95999999996</v>
      </c>
      <c r="G34" s="54">
        <f>SUM(G25:G33)</f>
        <v>318289.15999999997</v>
      </c>
      <c r="H34" s="35">
        <f>SUM(H25:H33)</f>
        <v>63218.8</v>
      </c>
      <c r="I34" s="41"/>
    </row>
    <row r="35" spans="2:14">
      <c r="B35" s="14"/>
      <c r="C35" s="14"/>
      <c r="D35" s="14"/>
      <c r="E35" s="82"/>
      <c r="F35" s="82"/>
      <c r="G35" s="82"/>
      <c r="H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70"/>
      <c r="J36" s="70"/>
    </row>
    <row r="37" spans="2:14" ht="48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71"/>
      <c r="J37" s="72"/>
      <c r="K37" s="39"/>
      <c r="L37" s="40"/>
      <c r="M37" s="187"/>
      <c r="N37" s="187"/>
    </row>
    <row r="38" spans="2:14">
      <c r="B38" s="88" t="s">
        <v>14</v>
      </c>
      <c r="C38" s="238">
        <f>E38+G38</f>
        <v>2979900.966873453</v>
      </c>
      <c r="D38" s="239"/>
      <c r="E38" s="263">
        <f>F25+F26+F27+F28+F29+F30+F31+F33+E16</f>
        <v>2583370.9768734532</v>
      </c>
      <c r="F38" s="264"/>
      <c r="G38" s="263">
        <f>F32+G16</f>
        <v>396529.99</v>
      </c>
      <c r="H38" s="265"/>
      <c r="I38" s="73"/>
      <c r="J38" s="74"/>
      <c r="K38" s="7"/>
      <c r="L38" s="7"/>
      <c r="M38" s="188"/>
    </row>
    <row r="39" spans="2:14">
      <c r="B39" s="89" t="s">
        <v>15</v>
      </c>
      <c r="C39" s="235">
        <f>E39+G39</f>
        <v>2996364.96</v>
      </c>
      <c r="D39" s="236"/>
      <c r="E39" s="235">
        <f>E17+313049.39</f>
        <v>2603862.33</v>
      </c>
      <c r="F39" s="236"/>
      <c r="G39" s="235">
        <f>G17+66183.8</f>
        <v>392502.63</v>
      </c>
      <c r="H39" s="237"/>
      <c r="I39" s="73"/>
      <c r="J39" s="74"/>
      <c r="K39" s="9"/>
      <c r="L39" s="7"/>
      <c r="M39" s="188"/>
    </row>
    <row r="40" spans="2:14">
      <c r="B40" s="90" t="s">
        <v>176</v>
      </c>
      <c r="C40" s="235">
        <f>E40+G40</f>
        <v>2891003.9429114405</v>
      </c>
      <c r="D40" s="236"/>
      <c r="E40" s="260">
        <f>G25+G26+G27+G28+G29+G30+G31+G33+E18</f>
        <v>2595310.9429114405</v>
      </c>
      <c r="F40" s="261"/>
      <c r="G40" s="260">
        <f>G32+G18</f>
        <v>295693</v>
      </c>
      <c r="H40" s="262"/>
      <c r="I40" s="73"/>
      <c r="J40" s="74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73"/>
      <c r="J41" s="74"/>
      <c r="K41" s="41"/>
      <c r="L41" s="41"/>
    </row>
    <row r="42" spans="2:14" ht="36.75" thickBot="1">
      <c r="B42" s="92" t="s">
        <v>275</v>
      </c>
      <c r="C42" s="249">
        <f>E42+G42</f>
        <v>141361.01708855957</v>
      </c>
      <c r="D42" s="250"/>
      <c r="E42" s="251">
        <f>E39+E41-E40</f>
        <v>44551.387088559568</v>
      </c>
      <c r="F42" s="252"/>
      <c r="G42" s="251">
        <f>G39-G40</f>
        <v>96809.63</v>
      </c>
      <c r="H42" s="253"/>
      <c r="I42" s="73"/>
      <c r="J42" s="74"/>
      <c r="K42" s="41"/>
      <c r="L42" s="41"/>
    </row>
    <row r="43" spans="2:14" ht="29.2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75"/>
      <c r="I43" s="75"/>
      <c r="J43" s="2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59"/>
      <c r="G44" s="259"/>
      <c r="H44" s="75"/>
      <c r="I44" s="75"/>
      <c r="J44" s="2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75"/>
      <c r="I45" s="75"/>
      <c r="J45" s="2"/>
      <c r="K45" s="2"/>
      <c r="L45" s="2"/>
      <c r="M45" s="186"/>
      <c r="N45" s="186"/>
    </row>
    <row r="46" spans="2:14" ht="10.5" customHeight="1">
      <c r="B46" s="219"/>
      <c r="C46" s="219"/>
      <c r="D46" s="219"/>
      <c r="E46" s="220"/>
      <c r="F46" s="267"/>
      <c r="G46" s="267"/>
      <c r="H46" s="75"/>
      <c r="I46" s="75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4" ht="9.75" customHeight="1">
      <c r="B48" s="42"/>
      <c r="C48" s="42"/>
      <c r="D48" s="42"/>
      <c r="E48" s="220"/>
      <c r="F48" s="43"/>
      <c r="G48" s="44"/>
      <c r="H48" s="43"/>
      <c r="I48" s="44"/>
    </row>
    <row r="49" spans="2:9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75"/>
      <c r="I49" s="75"/>
    </row>
    <row r="50" spans="2:9" ht="9.75" customHeight="1">
      <c r="B50" s="46"/>
      <c r="C50" s="46"/>
      <c r="D50" s="46"/>
      <c r="E50" s="220"/>
      <c r="F50" s="268"/>
      <c r="G50" s="268"/>
      <c r="H50" s="84"/>
      <c r="I50" s="84"/>
    </row>
    <row r="51" spans="2:9">
      <c r="B51" s="46"/>
      <c r="C51" s="83"/>
      <c r="D51" s="84"/>
      <c r="E51" s="84"/>
      <c r="F51" s="46"/>
      <c r="G51" s="46"/>
      <c r="H51" s="46"/>
      <c r="I51" s="46"/>
    </row>
  </sheetData>
  <mergeCells count="61">
    <mergeCell ref="C43:E43"/>
    <mergeCell ref="C45:E45"/>
    <mergeCell ref="C47:E47"/>
    <mergeCell ref="C49:E49"/>
    <mergeCell ref="F44:G44"/>
    <mergeCell ref="F47:G47"/>
    <mergeCell ref="F49:G49"/>
    <mergeCell ref="F45:G45"/>
    <mergeCell ref="F46:G46"/>
    <mergeCell ref="B1:H1"/>
    <mergeCell ref="B2:H3"/>
    <mergeCell ref="E37:F37"/>
    <mergeCell ref="G37:H37"/>
    <mergeCell ref="B36:H36"/>
    <mergeCell ref="B14:H14"/>
    <mergeCell ref="E15:F15"/>
    <mergeCell ref="G15:H15"/>
    <mergeCell ref="E16:F16"/>
    <mergeCell ref="G16:H16"/>
    <mergeCell ref="E17:F17"/>
    <mergeCell ref="G17:H17"/>
    <mergeCell ref="C20:D20"/>
    <mergeCell ref="G20:H20"/>
    <mergeCell ref="E18:F18"/>
    <mergeCell ref="G18:H18"/>
    <mergeCell ref="F50:G50"/>
    <mergeCell ref="D5:E5"/>
    <mergeCell ref="B22:H22"/>
    <mergeCell ref="B23:B24"/>
    <mergeCell ref="C23:C24"/>
    <mergeCell ref="D23:D24"/>
    <mergeCell ref="E23:E24"/>
    <mergeCell ref="F23:G23"/>
    <mergeCell ref="H23:H24"/>
    <mergeCell ref="E38:F38"/>
    <mergeCell ref="G38:H38"/>
    <mergeCell ref="E39:F39"/>
    <mergeCell ref="G39:H39"/>
    <mergeCell ref="G40:H40"/>
    <mergeCell ref="F43:G43"/>
    <mergeCell ref="E20:F20"/>
    <mergeCell ref="E19:F19"/>
    <mergeCell ref="G19:H19"/>
    <mergeCell ref="C15:D15"/>
    <mergeCell ref="C16:D16"/>
    <mergeCell ref="C17:D17"/>
    <mergeCell ref="C18:D18"/>
    <mergeCell ref="C19:D19"/>
    <mergeCell ref="C40:D40"/>
    <mergeCell ref="C41:D41"/>
    <mergeCell ref="C42:D42"/>
    <mergeCell ref="M22:M23"/>
    <mergeCell ref="N22:N23"/>
    <mergeCell ref="C38:D38"/>
    <mergeCell ref="C37:D37"/>
    <mergeCell ref="C39:D39"/>
    <mergeCell ref="E40:F40"/>
    <mergeCell ref="E42:F42"/>
    <mergeCell ref="G42:H42"/>
    <mergeCell ref="E41:F41"/>
    <mergeCell ref="G41:H41"/>
  </mergeCells>
  <printOptions horizontalCentered="1"/>
  <pageMargins left="0.23622047244094491" right="0.27559055118110237" top="0.31496062992125984" bottom="0.23622047244094491" header="0.31496062992125984" footer="0.31496062992125984"/>
  <pageSetup paperSize="9" scale="4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42578125" style="3" customWidth="1"/>
    <col min="3" max="3" width="21.5703125" style="60" customWidth="1"/>
    <col min="4" max="4" width="9.140625" style="78" customWidth="1"/>
    <col min="5" max="5" width="9.42578125" style="78" customWidth="1"/>
    <col min="6" max="6" width="10.42578125" style="78" customWidth="1"/>
    <col min="7" max="7" width="10.42578125" style="3" customWidth="1"/>
    <col min="8" max="8" width="10.5703125" style="78" customWidth="1"/>
    <col min="9" max="9" width="10.7109375" style="3" bestFit="1" customWidth="1"/>
    <col min="10" max="10" width="12.140625" style="3" customWidth="1"/>
    <col min="11" max="11" width="13.85546875" style="3" customWidth="1"/>
    <col min="12" max="12" width="14.28515625" style="3" customWidth="1"/>
    <col min="13" max="13" width="16.7109375" style="185" customWidth="1"/>
    <col min="14" max="14" width="14.855468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3.25" customHeight="1">
      <c r="A3" s="56"/>
      <c r="B3" s="231"/>
      <c r="C3" s="231"/>
      <c r="D3" s="231"/>
      <c r="E3" s="231"/>
      <c r="F3" s="231"/>
      <c r="G3" s="231"/>
      <c r="H3" s="231"/>
    </row>
    <row r="4" spans="1:9" ht="13.5" customHeight="1"/>
    <row r="5" spans="1:9">
      <c r="B5" s="8" t="s">
        <v>0</v>
      </c>
      <c r="C5" s="116"/>
      <c r="D5" s="233" t="s">
        <v>22</v>
      </c>
      <c r="E5" s="233"/>
    </row>
    <row r="6" spans="1:9">
      <c r="B6" s="8" t="s">
        <v>1</v>
      </c>
      <c r="C6" s="116"/>
      <c r="D6" s="217">
        <v>1984</v>
      </c>
      <c r="E6" s="217"/>
    </row>
    <row r="7" spans="1:9" ht="15.75" hidden="1" customHeight="1" outlineLevel="1">
      <c r="B7" s="8" t="s">
        <v>2</v>
      </c>
      <c r="C7" s="116"/>
      <c r="D7" s="217">
        <v>3</v>
      </c>
      <c r="E7" s="217"/>
    </row>
    <row r="8" spans="1:9" ht="15.75" hidden="1" customHeight="1" outlineLevel="1">
      <c r="B8" s="8" t="s">
        <v>3</v>
      </c>
      <c r="C8" s="116"/>
      <c r="D8" s="217">
        <v>22</v>
      </c>
      <c r="E8" s="217"/>
    </row>
    <row r="9" spans="1:9" ht="26.25" hidden="1" customHeight="1" outlineLevel="1">
      <c r="B9" s="111" t="s">
        <v>4</v>
      </c>
      <c r="C9" s="116"/>
      <c r="D9" s="217"/>
      <c r="E9" s="217"/>
    </row>
    <row r="10" spans="1:9" collapsed="1">
      <c r="B10" s="8" t="s">
        <v>5</v>
      </c>
      <c r="C10" s="116"/>
      <c r="D10" s="217" t="s">
        <v>213</v>
      </c>
      <c r="E10" s="217"/>
      <c r="I10" s="14"/>
    </row>
    <row r="11" spans="1:9" ht="15.75" hidden="1" customHeight="1" outlineLevel="1">
      <c r="B11" s="3" t="s">
        <v>6</v>
      </c>
      <c r="D11" s="216" t="s">
        <v>12</v>
      </c>
      <c r="E11" s="216"/>
    </row>
    <row r="12" spans="1:9" ht="31.5" hidden="1" customHeight="1" outlineLevel="1">
      <c r="B12" s="11" t="s">
        <v>7</v>
      </c>
      <c r="C12" s="61"/>
      <c r="D12" s="87" t="s">
        <v>21</v>
      </c>
      <c r="E12" s="216"/>
      <c r="I12" s="14"/>
    </row>
    <row r="13" spans="1:9" collapsed="1">
      <c r="B13" s="11"/>
      <c r="C13" s="61"/>
      <c r="D13" s="87"/>
      <c r="E13" s="216"/>
      <c r="I13" s="14"/>
    </row>
    <row r="14" spans="1:9" ht="15.75" customHeight="1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7.25" customHeight="1" thickBot="1">
      <c r="B15" s="202" t="s">
        <v>296</v>
      </c>
      <c r="C15" s="225" t="s">
        <v>194</v>
      </c>
      <c r="D15" s="275"/>
      <c r="E15" s="227" t="s">
        <v>8</v>
      </c>
      <c r="F15" s="275"/>
      <c r="G15" s="227" t="s">
        <v>9</v>
      </c>
      <c r="H15" s="285"/>
      <c r="I15" s="14"/>
    </row>
    <row r="16" spans="1:9">
      <c r="B16" s="88" t="s">
        <v>14</v>
      </c>
      <c r="C16" s="238">
        <v>2947936.5694397632</v>
      </c>
      <c r="D16" s="276"/>
      <c r="E16" s="238">
        <v>2206695.7194397631</v>
      </c>
      <c r="F16" s="276"/>
      <c r="G16" s="238">
        <v>741240.85</v>
      </c>
      <c r="H16" s="280"/>
      <c r="I16" s="14"/>
    </row>
    <row r="17" spans="2:14">
      <c r="B17" s="89" t="s">
        <v>15</v>
      </c>
      <c r="C17" s="235">
        <v>2621359.71</v>
      </c>
      <c r="D17" s="277"/>
      <c r="E17" s="235">
        <v>1966180.2999999998</v>
      </c>
      <c r="F17" s="277"/>
      <c r="G17" s="235">
        <v>655179.41</v>
      </c>
      <c r="H17" s="284"/>
      <c r="I17" s="14"/>
    </row>
    <row r="18" spans="2:14">
      <c r="B18" s="90" t="s">
        <v>176</v>
      </c>
      <c r="C18" s="235">
        <v>2711459.72</v>
      </c>
      <c r="D18" s="277"/>
      <c r="E18" s="235">
        <v>2206695.7200000002</v>
      </c>
      <c r="F18" s="277"/>
      <c r="G18" s="235">
        <v>504764</v>
      </c>
      <c r="H18" s="284"/>
      <c r="I18" s="14"/>
    </row>
    <row r="19" spans="2:14" ht="16.5" thickBot="1">
      <c r="B19" s="91" t="s">
        <v>208</v>
      </c>
      <c r="C19" s="269">
        <v>32400</v>
      </c>
      <c r="D19" s="282"/>
      <c r="E19" s="269">
        <v>32400</v>
      </c>
      <c r="F19" s="282"/>
      <c r="G19" s="269">
        <v>0</v>
      </c>
      <c r="H19" s="287"/>
      <c r="I19" s="14"/>
    </row>
    <row r="20" spans="2:14" ht="30.75" customHeight="1" thickBot="1">
      <c r="B20" s="92" t="s">
        <v>274</v>
      </c>
      <c r="C20" s="249">
        <f>E20+G20</f>
        <v>-57700.010000000359</v>
      </c>
      <c r="D20" s="275"/>
      <c r="E20" s="251">
        <f>E17+E19-E18</f>
        <v>-208115.42000000039</v>
      </c>
      <c r="F20" s="275"/>
      <c r="G20" s="251">
        <f>G17-G18</f>
        <v>150415.41000000003</v>
      </c>
      <c r="H20" s="285"/>
      <c r="I20" s="14"/>
    </row>
    <row r="21" spans="2:14">
      <c r="B21" s="11"/>
      <c r="C21" s="61"/>
      <c r="D21" s="87"/>
      <c r="E21" s="216"/>
      <c r="I21" s="14"/>
    </row>
    <row r="22" spans="2:14" ht="22.5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4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80"/>
      <c r="H23" s="257" t="s">
        <v>209</v>
      </c>
      <c r="I23" s="15"/>
      <c r="J23" s="15"/>
      <c r="L23" s="14"/>
      <c r="M23" s="274"/>
      <c r="N23" s="274"/>
    </row>
    <row r="24" spans="2:14" ht="45" customHeight="1" thickBot="1">
      <c r="B24" s="286"/>
      <c r="C24" s="278"/>
      <c r="D24" s="278"/>
      <c r="E24" s="279"/>
      <c r="F24" s="16" t="s">
        <v>174</v>
      </c>
      <c r="G24" s="17" t="s">
        <v>175</v>
      </c>
      <c r="H24" s="281"/>
      <c r="I24" s="15"/>
      <c r="J24" s="15"/>
      <c r="M24" s="204">
        <v>287530.18</v>
      </c>
      <c r="N24" s="204">
        <f>M24</f>
        <v>287530.18</v>
      </c>
    </row>
    <row r="25" spans="2:14" ht="50.25" customHeight="1">
      <c r="B25" s="18" t="s">
        <v>178</v>
      </c>
      <c r="C25" s="6" t="s">
        <v>205</v>
      </c>
      <c r="D25" s="19" t="s">
        <v>188</v>
      </c>
      <c r="E25" s="93">
        <v>3.43</v>
      </c>
      <c r="F25" s="20">
        <f>$M$24/$M$25*E25</f>
        <v>53512.12791101465</v>
      </c>
      <c r="G25" s="21">
        <f>$N$24/$N$25*E25</f>
        <v>53512.12791101465</v>
      </c>
      <c r="H25" s="22">
        <f>F25-G25</f>
        <v>0</v>
      </c>
      <c r="I25" s="23"/>
      <c r="J25" s="23"/>
      <c r="K25" s="24"/>
      <c r="L25" s="25"/>
      <c r="M25" s="205">
        <f>E34-E32</f>
        <v>18.43</v>
      </c>
      <c r="N25" s="205">
        <f>E34-E32</f>
        <v>18.43</v>
      </c>
    </row>
    <row r="26" spans="2:14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59284.573195876284</v>
      </c>
      <c r="G26" s="21">
        <f>$N$24/$N$25*E26</f>
        <v>59284.573195876284</v>
      </c>
      <c r="H26" s="22">
        <f t="shared" ref="H26:H31" si="0">F26-G26</f>
        <v>0</v>
      </c>
      <c r="I26" s="23"/>
      <c r="J26" s="23"/>
      <c r="K26" s="2"/>
      <c r="L26" s="2"/>
      <c r="M26" s="186"/>
      <c r="N26" s="186"/>
    </row>
    <row r="27" spans="2:14" ht="55.5" customHeight="1">
      <c r="B27" s="27" t="s">
        <v>171</v>
      </c>
      <c r="C27" s="6" t="s">
        <v>205</v>
      </c>
      <c r="D27" s="19" t="s">
        <v>188</v>
      </c>
      <c r="E27" s="94">
        <v>0.32</v>
      </c>
      <c r="F27" s="20">
        <f>$M$24/$M$25*E27</f>
        <v>4992.3851112316879</v>
      </c>
      <c r="G27" s="21">
        <f>$N$24/$N$25*E27</f>
        <v>4992.3851112316879</v>
      </c>
      <c r="H27" s="22">
        <f t="shared" si="0"/>
        <v>0</v>
      </c>
      <c r="I27" s="23"/>
      <c r="J27" s="23"/>
      <c r="L27" s="14"/>
    </row>
    <row r="28" spans="2:14" ht="29.25" customHeight="1">
      <c r="B28" s="27" t="s">
        <v>172</v>
      </c>
      <c r="C28" s="28" t="s">
        <v>190</v>
      </c>
      <c r="D28" s="19" t="s">
        <v>188</v>
      </c>
      <c r="E28" s="94">
        <v>0.64</v>
      </c>
      <c r="F28" s="20">
        <f>$M$24/$M$25*E28</f>
        <v>9984.7702224633758</v>
      </c>
      <c r="G28" s="21">
        <f>$N$24/$N$25*E28</f>
        <v>9984.7702224633758</v>
      </c>
      <c r="H28" s="22">
        <f t="shared" si="0"/>
        <v>0</v>
      </c>
      <c r="I28" s="23"/>
      <c r="J28" s="23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1.52</v>
      </c>
      <c r="F29" s="20">
        <f t="shared" ref="F29:F33" si="1">$M$24/$M$25*E29</f>
        <v>23713.829278350517</v>
      </c>
      <c r="G29" s="21">
        <f t="shared" ref="G29:G30" si="2">$N$24/$N$25*E29</f>
        <v>23713.829278350517</v>
      </c>
      <c r="H29" s="22">
        <f t="shared" si="0"/>
        <v>0</v>
      </c>
      <c r="I29" s="23"/>
      <c r="J29" s="23"/>
    </row>
    <row r="30" spans="2:14" ht="242.25" customHeight="1">
      <c r="B30" s="26" t="s">
        <v>202</v>
      </c>
      <c r="C30" s="29" t="s">
        <v>191</v>
      </c>
      <c r="D30" s="19" t="s">
        <v>188</v>
      </c>
      <c r="E30" s="94">
        <v>7.17</v>
      </c>
      <c r="F30" s="20">
        <f t="shared" si="1"/>
        <v>111860.628898535</v>
      </c>
      <c r="G30" s="21">
        <f t="shared" si="2"/>
        <v>111860.628898535</v>
      </c>
      <c r="H30" s="22">
        <f t="shared" si="0"/>
        <v>0</v>
      </c>
      <c r="I30" s="23"/>
      <c r="J30" s="23"/>
      <c r="K30" s="2"/>
      <c r="L30" s="1"/>
      <c r="M30" s="186"/>
      <c r="N30" s="186"/>
    </row>
    <row r="31" spans="2:14" ht="108.75" customHeight="1">
      <c r="B31" s="26" t="s">
        <v>192</v>
      </c>
      <c r="C31" s="6" t="s">
        <v>205</v>
      </c>
      <c r="D31" s="19" t="s">
        <v>188</v>
      </c>
      <c r="E31" s="94">
        <v>0.3</v>
      </c>
      <c r="F31" s="20">
        <f t="shared" si="1"/>
        <v>4680.3610417797072</v>
      </c>
      <c r="G31" s="21">
        <f t="shared" ref="G31" si="3">$N$24/$N$25*E31</f>
        <v>4680.3610417797072</v>
      </c>
      <c r="H31" s="22">
        <f t="shared" si="0"/>
        <v>0</v>
      </c>
      <c r="I31" s="23"/>
      <c r="J31" s="23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4.5999999999999996</v>
      </c>
      <c r="F32" s="20">
        <v>71765.539999999994</v>
      </c>
      <c r="G32" s="4">
        <v>165777</v>
      </c>
      <c r="H32" s="22">
        <f>F32-G32</f>
        <v>-94011.46</v>
      </c>
      <c r="I32" s="23"/>
      <c r="J32" s="23"/>
      <c r="L32" s="14"/>
    </row>
    <row r="33" spans="2:14" ht="16.5" thickBot="1">
      <c r="B33" s="48" t="s">
        <v>173</v>
      </c>
      <c r="C33" s="49" t="s">
        <v>191</v>
      </c>
      <c r="D33" s="50" t="s">
        <v>188</v>
      </c>
      <c r="E33" s="98">
        <v>1.25</v>
      </c>
      <c r="F33" s="20">
        <f t="shared" si="1"/>
        <v>19501.504340748779</v>
      </c>
      <c r="G33" s="21">
        <f t="shared" ref="G33" si="4">$N$24/$N$25*E33</f>
        <v>19501.504340748779</v>
      </c>
      <c r="H33" s="30">
        <f>F33-G33</f>
        <v>0</v>
      </c>
      <c r="I33" s="23"/>
      <c r="J33" s="23"/>
    </row>
    <row r="34" spans="2:14" ht="16.5" thickBot="1">
      <c r="B34" s="51" t="s">
        <v>177</v>
      </c>
      <c r="C34" s="52"/>
      <c r="D34" s="52"/>
      <c r="E34" s="96">
        <f>SUM(E25:E33)</f>
        <v>23.03</v>
      </c>
      <c r="F34" s="53">
        <f>SUM(F25:F33)</f>
        <v>359295.72</v>
      </c>
      <c r="G34" s="54">
        <f>SUM(G25:G33)</f>
        <v>453307.18</v>
      </c>
      <c r="H34" s="35">
        <f>SUM(H25:H33)</f>
        <v>-94011.46</v>
      </c>
      <c r="I34" s="36"/>
      <c r="J34" s="36"/>
    </row>
    <row r="35" spans="2:14">
      <c r="B35" s="14"/>
      <c r="C35" s="14"/>
      <c r="D35" s="14"/>
      <c r="E35" s="82"/>
      <c r="F35" s="82"/>
      <c r="G35" s="124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4.25" customHeight="1" thickBot="1">
      <c r="B37" s="202" t="s">
        <v>305</v>
      </c>
      <c r="C37" s="225" t="s">
        <v>194</v>
      </c>
      <c r="D37" s="275"/>
      <c r="E37" s="227" t="s">
        <v>8</v>
      </c>
      <c r="F37" s="275"/>
      <c r="G37" s="227" t="s">
        <v>9</v>
      </c>
      <c r="H37" s="285"/>
      <c r="I37" s="38"/>
      <c r="J37" s="38"/>
      <c r="K37" s="39"/>
      <c r="L37" s="40"/>
      <c r="M37" s="187"/>
      <c r="N37" s="187"/>
    </row>
    <row r="38" spans="2:14">
      <c r="B38" s="88" t="s">
        <v>14</v>
      </c>
      <c r="C38" s="238">
        <f>E38+G38</f>
        <v>3307232.2894397634</v>
      </c>
      <c r="D38" s="276"/>
      <c r="E38" s="238">
        <f>F25+F26+F27+F28+F29+F30+F31+F33+E16</f>
        <v>2494225.8994397633</v>
      </c>
      <c r="F38" s="276"/>
      <c r="G38" s="238">
        <f>F32+G16</f>
        <v>813006.39</v>
      </c>
      <c r="H38" s="280"/>
      <c r="I38" s="222"/>
      <c r="J38" s="222"/>
      <c r="K38" s="7"/>
      <c r="L38" s="7"/>
      <c r="M38" s="188"/>
    </row>
    <row r="39" spans="2:14">
      <c r="B39" s="89" t="s">
        <v>15</v>
      </c>
      <c r="C39" s="235">
        <f>E39+G39</f>
        <v>2933111.41</v>
      </c>
      <c r="D39" s="277"/>
      <c r="E39" s="235">
        <f>E17+249482.58</f>
        <v>2215662.88</v>
      </c>
      <c r="F39" s="277"/>
      <c r="G39" s="235">
        <f>G17+62269.12</f>
        <v>717448.53</v>
      </c>
      <c r="H39" s="284"/>
      <c r="I39" s="222"/>
      <c r="J39" s="222"/>
      <c r="K39" s="9"/>
      <c r="L39" s="7"/>
      <c r="M39" s="188"/>
    </row>
    <row r="40" spans="2:14">
      <c r="B40" s="90" t="s">
        <v>176</v>
      </c>
      <c r="C40" s="235">
        <f>E40+G40</f>
        <v>3164766.9000000004</v>
      </c>
      <c r="D40" s="277"/>
      <c r="E40" s="235">
        <f>G25+G26+G27+G28+G29+G30+G31+G33+E18</f>
        <v>2494225.9000000004</v>
      </c>
      <c r="F40" s="277"/>
      <c r="G40" s="235">
        <f>G32+G18</f>
        <v>670541</v>
      </c>
      <c r="H40" s="284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82"/>
      <c r="E41" s="269">
        <f>E19+3600</f>
        <v>36000</v>
      </c>
      <c r="F41" s="282"/>
      <c r="G41" s="269">
        <f>G19</f>
        <v>0</v>
      </c>
      <c r="H41" s="287"/>
      <c r="I41" s="222"/>
      <c r="J41" s="222"/>
      <c r="K41" s="41"/>
      <c r="L41" s="41"/>
    </row>
    <row r="42" spans="2:14" ht="31.5" customHeight="1" thickBot="1">
      <c r="B42" s="92" t="s">
        <v>275</v>
      </c>
      <c r="C42" s="249">
        <f>E42+G42</f>
        <v>-195655.49000000046</v>
      </c>
      <c r="D42" s="275"/>
      <c r="E42" s="251">
        <f>E39+E41-E40</f>
        <v>-242563.02000000048</v>
      </c>
      <c r="F42" s="275"/>
      <c r="G42" s="251">
        <f>G39-G40</f>
        <v>46907.530000000028</v>
      </c>
      <c r="H42" s="285"/>
      <c r="I42" s="222"/>
      <c r="J42" s="222"/>
      <c r="K42" s="41"/>
      <c r="L42" s="41"/>
    </row>
    <row r="43" spans="2:14" ht="25.5" customHeight="1">
      <c r="B43" s="219" t="s">
        <v>167</v>
      </c>
      <c r="C43" s="288" t="s">
        <v>284</v>
      </c>
      <c r="D43" s="288"/>
      <c r="E43" s="288"/>
      <c r="F43" s="283" t="s">
        <v>293</v>
      </c>
      <c r="G43" s="283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8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3"/>
    </row>
    <row r="50" spans="2:8">
      <c r="B50" s="46"/>
      <c r="C50" s="46"/>
      <c r="D50" s="46"/>
      <c r="E50" s="220"/>
      <c r="F50" s="268"/>
      <c r="G50" s="268"/>
      <c r="H50" s="3"/>
    </row>
  </sheetData>
  <mergeCells count="61">
    <mergeCell ref="C43:E43"/>
    <mergeCell ref="C45:E45"/>
    <mergeCell ref="C47:E47"/>
    <mergeCell ref="C49:E49"/>
    <mergeCell ref="G41:H41"/>
    <mergeCell ref="C42:D42"/>
    <mergeCell ref="C40:D40"/>
    <mergeCell ref="C41:D41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C20:D20"/>
    <mergeCell ref="B14:H14"/>
    <mergeCell ref="E15:F15"/>
    <mergeCell ref="G15:H15"/>
    <mergeCell ref="E16:F16"/>
    <mergeCell ref="E37:F37"/>
    <mergeCell ref="G37:H37"/>
    <mergeCell ref="C15:D15"/>
    <mergeCell ref="C16:D16"/>
    <mergeCell ref="C17:D17"/>
    <mergeCell ref="C18:D18"/>
    <mergeCell ref="C19:D19"/>
    <mergeCell ref="B1:H1"/>
    <mergeCell ref="B2:H3"/>
    <mergeCell ref="B36:H36"/>
    <mergeCell ref="F47:G47"/>
    <mergeCell ref="F43:G43"/>
    <mergeCell ref="F44:G44"/>
    <mergeCell ref="G39:H39"/>
    <mergeCell ref="E40:F40"/>
    <mergeCell ref="G40:H40"/>
    <mergeCell ref="E42:F42"/>
    <mergeCell ref="G42:H42"/>
    <mergeCell ref="F45:G45"/>
    <mergeCell ref="F46:G46"/>
    <mergeCell ref="D5:E5"/>
    <mergeCell ref="B22:H22"/>
    <mergeCell ref="B23:B24"/>
    <mergeCell ref="F50:G50"/>
    <mergeCell ref="M22:M23"/>
    <mergeCell ref="N22:N23"/>
    <mergeCell ref="C37:D37"/>
    <mergeCell ref="C38:D38"/>
    <mergeCell ref="C39:D39"/>
    <mergeCell ref="F49:G49"/>
    <mergeCell ref="C23:C24"/>
    <mergeCell ref="D23:D24"/>
    <mergeCell ref="E23:E24"/>
    <mergeCell ref="F23:G23"/>
    <mergeCell ref="H23:H24"/>
    <mergeCell ref="E38:F38"/>
    <mergeCell ref="G38:H38"/>
    <mergeCell ref="E41:F41"/>
    <mergeCell ref="E39:F39"/>
  </mergeCells>
  <pageMargins left="0.19685039370078741" right="0.19685039370078741" top="0.16" bottom="0.23622047244094491" header="0.18" footer="0.25"/>
  <pageSetup paperSize="9" scale="46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51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7" style="3" customWidth="1"/>
    <col min="3" max="3" width="22" style="78" customWidth="1"/>
    <col min="4" max="4" width="8.85546875" style="78" customWidth="1"/>
    <col min="5" max="5" width="10.28515625" style="78" customWidth="1"/>
    <col min="6" max="6" width="10" style="3" customWidth="1"/>
    <col min="7" max="7" width="10.7109375" style="3" customWidth="1"/>
    <col min="8" max="8" width="12.140625" style="3" customWidth="1"/>
    <col min="9" max="9" width="12.85546875" style="3" customWidth="1"/>
    <col min="10" max="12" width="9.140625" style="3"/>
    <col min="13" max="13" width="13.42578125" style="185" customWidth="1"/>
    <col min="14" max="14" width="13.71093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152</v>
      </c>
      <c r="E5" s="233"/>
    </row>
    <row r="6" spans="1:9">
      <c r="B6" s="8" t="s">
        <v>1</v>
      </c>
      <c r="C6" s="45"/>
      <c r="D6" s="217">
        <v>2007</v>
      </c>
      <c r="E6" s="217"/>
    </row>
    <row r="7" spans="1:9" hidden="1" outlineLevel="1">
      <c r="B7" s="8" t="s">
        <v>2</v>
      </c>
      <c r="C7" s="45"/>
      <c r="D7" s="217">
        <v>3</v>
      </c>
      <c r="E7" s="217"/>
    </row>
    <row r="8" spans="1:9" hidden="1" outlineLevel="1">
      <c r="B8" s="8" t="s">
        <v>3</v>
      </c>
      <c r="C8" s="45"/>
      <c r="D8" s="217">
        <v>24</v>
      </c>
      <c r="E8" s="217"/>
    </row>
    <row r="9" spans="1:9" ht="30.75" hidden="1" customHeight="1" outlineLevel="1">
      <c r="B9" s="111" t="s">
        <v>4</v>
      </c>
      <c r="C9" s="122"/>
      <c r="D9" s="217" t="s">
        <v>153</v>
      </c>
      <c r="E9" s="217"/>
    </row>
    <row r="10" spans="1:9" collapsed="1">
      <c r="B10" s="8" t="s">
        <v>5</v>
      </c>
      <c r="C10" s="45"/>
      <c r="D10" s="217" t="s">
        <v>258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140</v>
      </c>
      <c r="E12" s="216"/>
      <c r="I12" s="14"/>
    </row>
    <row r="13" spans="1:9" ht="8.2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7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1952890.5811355566</v>
      </c>
      <c r="D16" s="273"/>
      <c r="E16" s="263">
        <v>1873645.7811355565</v>
      </c>
      <c r="F16" s="264"/>
      <c r="G16" s="263">
        <v>79244.800000000003</v>
      </c>
      <c r="H16" s="265"/>
      <c r="I16" s="14"/>
    </row>
    <row r="17" spans="2:14">
      <c r="B17" s="89" t="s">
        <v>15</v>
      </c>
      <c r="C17" s="235">
        <v>1973869.2799999998</v>
      </c>
      <c r="D17" s="236"/>
      <c r="E17" s="235">
        <v>1899252.0699999998</v>
      </c>
      <c r="F17" s="236"/>
      <c r="G17" s="235">
        <v>74617.210000000006</v>
      </c>
      <c r="H17" s="237"/>
      <c r="I17" s="14"/>
    </row>
    <row r="18" spans="2:14">
      <c r="B18" s="90" t="s">
        <v>176</v>
      </c>
      <c r="C18" s="235">
        <v>1947189.5669800255</v>
      </c>
      <c r="D18" s="236"/>
      <c r="E18" s="260">
        <v>1889186.5669800255</v>
      </c>
      <c r="F18" s="261"/>
      <c r="G18" s="260">
        <v>58003</v>
      </c>
      <c r="H18" s="262"/>
      <c r="I18" s="14"/>
    </row>
    <row r="19" spans="2:14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4" ht="32.25" customHeight="1" thickBot="1">
      <c r="B20" s="92" t="s">
        <v>274</v>
      </c>
      <c r="C20" s="249">
        <f>E20+G20</f>
        <v>59079.713019974341</v>
      </c>
      <c r="D20" s="250"/>
      <c r="E20" s="251">
        <f>E17+E19-E18</f>
        <v>42465.503019974334</v>
      </c>
      <c r="F20" s="252"/>
      <c r="G20" s="251">
        <f>G17-G18</f>
        <v>16614.210000000006</v>
      </c>
      <c r="H20" s="253"/>
      <c r="I20" s="14"/>
    </row>
    <row r="21" spans="2:14">
      <c r="B21" s="79"/>
      <c r="C21" s="79"/>
      <c r="D21" s="80"/>
      <c r="E21" s="81"/>
      <c r="F21" s="81"/>
      <c r="G21" s="81"/>
      <c r="H21" s="81"/>
      <c r="I21" s="14"/>
    </row>
    <row r="22" spans="2:14" ht="20.25" customHeight="1" thickBot="1">
      <c r="B22" s="254" t="s">
        <v>302</v>
      </c>
      <c r="C22" s="254"/>
      <c r="D22" s="254"/>
      <c r="E22" s="254"/>
      <c r="F22" s="254"/>
      <c r="G22" s="254"/>
      <c r="H22" s="254"/>
      <c r="L22" s="14"/>
      <c r="M22" s="241" t="s">
        <v>278</v>
      </c>
      <c r="N22" s="241" t="s">
        <v>279</v>
      </c>
    </row>
    <row r="23" spans="2:14" ht="39.7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L23" s="14"/>
      <c r="M23" s="242"/>
      <c r="N23" s="242"/>
    </row>
    <row r="24" spans="2:14" ht="39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M24" s="204">
        <v>240838.86</v>
      </c>
      <c r="N24" s="204">
        <f>M24</f>
        <v>240838.86</v>
      </c>
    </row>
    <row r="25" spans="2:14" ht="49.5" customHeight="1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49174.262758208948</v>
      </c>
      <c r="G25" s="21">
        <f>$N$24/$N$25*E25</f>
        <v>49174.262758208948</v>
      </c>
      <c r="H25" s="22">
        <f>F25-G25</f>
        <v>0</v>
      </c>
      <c r="I25" s="57"/>
      <c r="J25" s="24"/>
      <c r="K25" s="24"/>
      <c r="L25" s="25"/>
      <c r="M25" s="205">
        <f>E34-E32</f>
        <v>16.75</v>
      </c>
      <c r="N25" s="205">
        <f>E34-E32</f>
        <v>16.75</v>
      </c>
    </row>
    <row r="26" spans="2:14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54638.069731343276</v>
      </c>
      <c r="G26" s="21">
        <f>$N$24/$N$25*E26</f>
        <v>54638.069731343276</v>
      </c>
      <c r="H26" s="22">
        <f t="shared" ref="H26:H31" si="0">F26-G26</f>
        <v>0</v>
      </c>
      <c r="I26" s="58"/>
      <c r="J26" s="2"/>
      <c r="K26" s="2"/>
      <c r="L26" s="2"/>
      <c r="M26" s="186"/>
      <c r="N26" s="186"/>
    </row>
    <row r="27" spans="2:14" ht="51.75" customHeight="1">
      <c r="B27" s="27" t="s">
        <v>171</v>
      </c>
      <c r="C27" s="6" t="s">
        <v>205</v>
      </c>
      <c r="D27" s="19" t="s">
        <v>188</v>
      </c>
      <c r="E27" s="94">
        <v>0.35</v>
      </c>
      <c r="F27" s="20">
        <f t="shared" ref="F27:F33" si="1">$M$24/$M$25*E27</f>
        <v>5032.4537910447752</v>
      </c>
      <c r="G27" s="21">
        <f t="shared" ref="G27:G30" si="2">$N$24/$N$25*E27</f>
        <v>5032.4537910447752</v>
      </c>
      <c r="H27" s="22">
        <f t="shared" si="0"/>
        <v>0</v>
      </c>
      <c r="I27" s="41"/>
      <c r="L27" s="14"/>
    </row>
    <row r="28" spans="2:14" ht="25.5">
      <c r="B28" s="27" t="s">
        <v>172</v>
      </c>
      <c r="C28" s="28" t="s">
        <v>190</v>
      </c>
      <c r="D28" s="19" t="s">
        <v>188</v>
      </c>
      <c r="E28" s="94">
        <v>0.57999999999999996</v>
      </c>
      <c r="F28" s="20">
        <f t="shared" ref="F28" si="3">$M$24/$M$25*E28</f>
        <v>8339.494853731343</v>
      </c>
      <c r="G28" s="21">
        <f t="shared" ref="G28" si="4">$N$24/$N$25*E28</f>
        <v>8339.494853731343</v>
      </c>
      <c r="H28" s="22">
        <f t="shared" si="0"/>
        <v>0</v>
      </c>
      <c r="I28" s="41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1.39</v>
      </c>
      <c r="F29" s="20">
        <f t="shared" si="1"/>
        <v>19986.030770149249</v>
      </c>
      <c r="G29" s="21">
        <f t="shared" si="2"/>
        <v>19986.030770149249</v>
      </c>
      <c r="H29" s="22">
        <f t="shared" si="0"/>
        <v>0</v>
      </c>
      <c r="I29" s="41"/>
    </row>
    <row r="30" spans="2:14" ht="213" customHeight="1">
      <c r="B30" s="26" t="s">
        <v>204</v>
      </c>
      <c r="C30" s="29" t="s">
        <v>191</v>
      </c>
      <c r="D30" s="19" t="s">
        <v>188</v>
      </c>
      <c r="E30" s="94">
        <v>6</v>
      </c>
      <c r="F30" s="20">
        <f t="shared" si="1"/>
        <v>86270.636417910442</v>
      </c>
      <c r="G30" s="21">
        <f t="shared" si="2"/>
        <v>86270.636417910442</v>
      </c>
      <c r="H30" s="22">
        <f t="shared" si="0"/>
        <v>0</v>
      </c>
      <c r="I30" s="58"/>
      <c r="J30" s="2"/>
      <c r="K30" s="2"/>
      <c r="L30" s="1"/>
      <c r="M30" s="186"/>
      <c r="N30" s="186"/>
    </row>
    <row r="31" spans="2:14" ht="102">
      <c r="B31" s="26" t="s">
        <v>192</v>
      </c>
      <c r="C31" s="6" t="s">
        <v>205</v>
      </c>
      <c r="D31" s="19" t="s">
        <v>188</v>
      </c>
      <c r="E31" s="94">
        <v>0.2</v>
      </c>
      <c r="F31" s="20">
        <f t="shared" si="1"/>
        <v>2875.687880597015</v>
      </c>
      <c r="G31" s="21">
        <f t="shared" ref="G31" si="5">$N$24/$N$25*E31</f>
        <v>2875.687880597015</v>
      </c>
      <c r="H31" s="22">
        <f t="shared" si="0"/>
        <v>0</v>
      </c>
      <c r="I31" s="41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4.7</v>
      </c>
      <c r="F32" s="20">
        <v>67578.66</v>
      </c>
      <c r="G32" s="4">
        <v>797</v>
      </c>
      <c r="H32" s="22">
        <f>F32-G32</f>
        <v>66781.66</v>
      </c>
      <c r="I32" s="41"/>
      <c r="L32" s="14"/>
    </row>
    <row r="33" spans="2:14" ht="16.5" thickBot="1">
      <c r="B33" s="48" t="s">
        <v>173</v>
      </c>
      <c r="C33" s="49" t="s">
        <v>191</v>
      </c>
      <c r="D33" s="50" t="s">
        <v>188</v>
      </c>
      <c r="E33" s="98">
        <v>1.01</v>
      </c>
      <c r="F33" s="20">
        <f t="shared" si="1"/>
        <v>14522.223797014925</v>
      </c>
      <c r="G33" s="21">
        <f t="shared" ref="G33" si="6">$N$24/$N$25*E33</f>
        <v>14522.223797014925</v>
      </c>
      <c r="H33" s="30">
        <f>F33-G33</f>
        <v>0</v>
      </c>
      <c r="I33" s="41"/>
    </row>
    <row r="34" spans="2:14" ht="16.5" thickBot="1">
      <c r="B34" s="51" t="s">
        <v>177</v>
      </c>
      <c r="C34" s="52"/>
      <c r="D34" s="52"/>
      <c r="E34" s="96">
        <f>SUM(E25:E33)</f>
        <v>21.45</v>
      </c>
      <c r="F34" s="53">
        <f>SUM(F25:F33)</f>
        <v>308417.52</v>
      </c>
      <c r="G34" s="54">
        <f>SUM(G25:G33)</f>
        <v>241635.86</v>
      </c>
      <c r="H34" s="35">
        <f>SUM(H25:H33)</f>
        <v>66781.66</v>
      </c>
      <c r="I34" s="41"/>
    </row>
    <row r="35" spans="2:14">
      <c r="B35" s="14"/>
      <c r="C35" s="14"/>
      <c r="D35" s="14"/>
      <c r="E35" s="82"/>
      <c r="F35" s="82"/>
      <c r="G35" s="82"/>
      <c r="H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70"/>
      <c r="J36" s="70"/>
    </row>
    <row r="37" spans="2:14" ht="48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71"/>
      <c r="J37" s="72"/>
      <c r="K37" s="39"/>
      <c r="L37" s="40"/>
      <c r="M37" s="187"/>
      <c r="N37" s="187"/>
    </row>
    <row r="38" spans="2:14">
      <c r="B38" s="88" t="s">
        <v>14</v>
      </c>
      <c r="C38" s="238">
        <f>E38+G38</f>
        <v>2261308.1011355566</v>
      </c>
      <c r="D38" s="239"/>
      <c r="E38" s="263">
        <f>F25+F26+F27+F28+F29+F30+F31+F33+E16</f>
        <v>2114484.6411355566</v>
      </c>
      <c r="F38" s="264"/>
      <c r="G38" s="263">
        <f>F32+G16</f>
        <v>146823.46000000002</v>
      </c>
      <c r="H38" s="265"/>
      <c r="I38" s="73"/>
      <c r="J38" s="74"/>
      <c r="K38" s="7"/>
      <c r="L38" s="7"/>
      <c r="M38" s="188"/>
    </row>
    <row r="39" spans="2:14">
      <c r="B39" s="89" t="s">
        <v>15</v>
      </c>
      <c r="C39" s="235">
        <f>E39+G39</f>
        <v>2283532.54</v>
      </c>
      <c r="D39" s="236"/>
      <c r="E39" s="235">
        <f>E17+241811.64</f>
        <v>2141063.71</v>
      </c>
      <c r="F39" s="236"/>
      <c r="G39" s="235">
        <f>G17+67851.62</f>
        <v>142468.83000000002</v>
      </c>
      <c r="H39" s="237"/>
      <c r="I39" s="73"/>
      <c r="J39" s="74"/>
      <c r="K39" s="9"/>
      <c r="L39" s="7"/>
      <c r="M39" s="188"/>
    </row>
    <row r="40" spans="2:14">
      <c r="B40" s="90" t="s">
        <v>176</v>
      </c>
      <c r="C40" s="235">
        <f>E40+G40</f>
        <v>2188825.4269800256</v>
      </c>
      <c r="D40" s="236"/>
      <c r="E40" s="260">
        <f>G25+G26+G27+G28+G29+G30+G31+G33+E18</f>
        <v>2130025.4269800256</v>
      </c>
      <c r="F40" s="261"/>
      <c r="G40" s="260">
        <f>G32+G18</f>
        <v>58800</v>
      </c>
      <c r="H40" s="262"/>
      <c r="I40" s="73"/>
      <c r="J40" s="74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73"/>
      <c r="J41" s="74"/>
      <c r="K41" s="41"/>
      <c r="L41" s="41"/>
    </row>
    <row r="42" spans="2:14" ht="25.5" thickBot="1">
      <c r="B42" s="92" t="s">
        <v>275</v>
      </c>
      <c r="C42" s="249">
        <f>E42+G42</f>
        <v>130707.11301997438</v>
      </c>
      <c r="D42" s="250"/>
      <c r="E42" s="251">
        <f>E39+E41-E40</f>
        <v>47038.283019974362</v>
      </c>
      <c r="F42" s="252"/>
      <c r="G42" s="251">
        <f>G39-G40</f>
        <v>83668.830000000016</v>
      </c>
      <c r="H42" s="253"/>
      <c r="I42" s="73"/>
      <c r="J42" s="74"/>
      <c r="K42" s="41"/>
      <c r="L42" s="41"/>
    </row>
    <row r="43" spans="2:14" ht="29.2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75"/>
      <c r="I43" s="75"/>
      <c r="J43" s="2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59"/>
      <c r="G44" s="259"/>
      <c r="H44" s="75"/>
      <c r="I44" s="75"/>
      <c r="J44" s="2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75"/>
      <c r="I45" s="75"/>
      <c r="J45" s="2"/>
      <c r="K45" s="2"/>
      <c r="L45" s="2"/>
      <c r="M45" s="186"/>
      <c r="N45" s="186"/>
    </row>
    <row r="46" spans="2:14" ht="10.5" customHeight="1">
      <c r="B46" s="219"/>
      <c r="C46" s="219"/>
      <c r="D46" s="219"/>
      <c r="E46" s="220"/>
      <c r="F46" s="267"/>
      <c r="G46" s="267"/>
      <c r="H46" s="75"/>
      <c r="I46" s="75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4" ht="9.75" customHeight="1">
      <c r="B48" s="42"/>
      <c r="C48" s="42"/>
      <c r="D48" s="42"/>
      <c r="E48" s="220"/>
      <c r="F48" s="43"/>
      <c r="G48" s="44"/>
      <c r="H48" s="43"/>
      <c r="I48" s="44"/>
    </row>
    <row r="49" spans="2:9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75"/>
      <c r="I49" s="75"/>
    </row>
    <row r="50" spans="2:9" ht="9.75" customHeight="1">
      <c r="B50" s="46"/>
      <c r="C50" s="46"/>
      <c r="D50" s="46"/>
      <c r="E50" s="220"/>
      <c r="F50" s="268"/>
      <c r="G50" s="268"/>
      <c r="H50" s="84"/>
      <c r="I50" s="84"/>
    </row>
    <row r="51" spans="2:9">
      <c r="B51" s="46"/>
      <c r="C51" s="83"/>
      <c r="D51" s="84"/>
      <c r="E51" s="84"/>
      <c r="F51" s="46"/>
      <c r="G51" s="46"/>
      <c r="H51" s="46"/>
      <c r="I51" s="46"/>
    </row>
  </sheetData>
  <mergeCells count="61">
    <mergeCell ref="C47:E47"/>
    <mergeCell ref="C49:E49"/>
    <mergeCell ref="E40:F40"/>
    <mergeCell ref="B36:H36"/>
    <mergeCell ref="E37:F37"/>
    <mergeCell ref="G37:H37"/>
    <mergeCell ref="G38:H38"/>
    <mergeCell ref="G39:H39"/>
    <mergeCell ref="G40:H40"/>
    <mergeCell ref="E38:F38"/>
    <mergeCell ref="C40:D40"/>
    <mergeCell ref="C41:D41"/>
    <mergeCell ref="C42:D42"/>
    <mergeCell ref="E39:F39"/>
    <mergeCell ref="E41:F41"/>
    <mergeCell ref="G41:H41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C20:D20"/>
    <mergeCell ref="E16:F16"/>
    <mergeCell ref="G16:H16"/>
    <mergeCell ref="E42:F42"/>
    <mergeCell ref="G42:H42"/>
    <mergeCell ref="F43:G43"/>
    <mergeCell ref="C43:E43"/>
    <mergeCell ref="C45:E45"/>
    <mergeCell ref="F50:G50"/>
    <mergeCell ref="F47:G47"/>
    <mergeCell ref="F49:G49"/>
    <mergeCell ref="F46:G46"/>
    <mergeCell ref="F44:G44"/>
    <mergeCell ref="F45:G45"/>
    <mergeCell ref="E17:F17"/>
    <mergeCell ref="G17:H17"/>
    <mergeCell ref="E20:F20"/>
    <mergeCell ref="G20:H20"/>
    <mergeCell ref="E18:F18"/>
    <mergeCell ref="G18:H18"/>
    <mergeCell ref="E19:F19"/>
    <mergeCell ref="G19:H19"/>
    <mergeCell ref="C15:D15"/>
    <mergeCell ref="C16:D16"/>
    <mergeCell ref="C17:D17"/>
    <mergeCell ref="C18:D18"/>
    <mergeCell ref="C19:D19"/>
    <mergeCell ref="M22:M23"/>
    <mergeCell ref="N22:N23"/>
    <mergeCell ref="C37:D37"/>
    <mergeCell ref="C38:D38"/>
    <mergeCell ref="C39:D39"/>
  </mergeCells>
  <printOptions horizontalCentered="1"/>
  <pageMargins left="0.19685039370078741" right="0.19685039370078741" top="0.15748031496062992" bottom="0.31496062992125984" header="0.31496062992125984" footer="0.31496062992125984"/>
  <pageSetup paperSize="9" scale="4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O49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7109375" style="3" customWidth="1"/>
    <col min="3" max="3" width="22.7109375" style="78" customWidth="1"/>
    <col min="4" max="4" width="10" style="78" customWidth="1"/>
    <col min="5" max="5" width="10.28515625" style="78" customWidth="1"/>
    <col min="6" max="6" width="10" style="78" customWidth="1"/>
    <col min="7" max="7" width="10.42578125" style="3" customWidth="1"/>
    <col min="8" max="8" width="10.42578125" style="78" customWidth="1"/>
    <col min="9" max="9" width="10.7109375" style="3" bestFit="1" customWidth="1"/>
    <col min="10" max="10" width="11.85546875" style="3" customWidth="1"/>
    <col min="11" max="11" width="13.85546875" style="3" customWidth="1"/>
    <col min="12" max="12" width="9.140625" style="125"/>
    <col min="13" max="13" width="15.42578125" style="185" customWidth="1"/>
    <col min="14" max="14" width="15.5703125" style="185" customWidth="1"/>
    <col min="15" max="15" width="9.140625" style="125"/>
    <col min="16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1.25" customHeight="1">
      <c r="A4" s="5"/>
      <c r="B4" s="5"/>
      <c r="C4" s="5"/>
      <c r="D4" s="5"/>
      <c r="E4" s="5"/>
      <c r="F4" s="5"/>
      <c r="G4" s="5"/>
    </row>
    <row r="5" spans="1:9">
      <c r="B5" s="3" t="s">
        <v>0</v>
      </c>
      <c r="D5" s="232" t="s">
        <v>154</v>
      </c>
      <c r="E5" s="232"/>
    </row>
    <row r="6" spans="1:9">
      <c r="B6" s="3" t="s">
        <v>1</v>
      </c>
      <c r="D6" s="216">
        <v>1978</v>
      </c>
      <c r="E6" s="216"/>
    </row>
    <row r="7" spans="1:9" hidden="1" outlineLevel="1">
      <c r="B7" s="3" t="s">
        <v>2</v>
      </c>
      <c r="D7" s="216">
        <v>2</v>
      </c>
      <c r="E7" s="216"/>
    </row>
    <row r="8" spans="1:9" hidden="1" outlineLevel="1">
      <c r="B8" s="3" t="s">
        <v>3</v>
      </c>
      <c r="D8" s="216">
        <v>18</v>
      </c>
      <c r="E8" s="216"/>
    </row>
    <row r="9" spans="1:9" ht="31.5" hidden="1" outlineLevel="1">
      <c r="B9" s="11" t="s">
        <v>4</v>
      </c>
      <c r="C9" s="76"/>
      <c r="D9" s="216" t="s">
        <v>155</v>
      </c>
      <c r="E9" s="216"/>
    </row>
    <row r="10" spans="1:9" collapsed="1">
      <c r="B10" s="3" t="s">
        <v>5</v>
      </c>
      <c r="D10" s="216" t="s">
        <v>259</v>
      </c>
      <c r="E10" s="216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1.5" hidden="1" customHeight="1" outlineLevel="1">
      <c r="B12" s="11" t="s">
        <v>7</v>
      </c>
      <c r="C12" s="76"/>
      <c r="D12" s="87" t="s">
        <v>156</v>
      </c>
      <c r="E12" s="216"/>
      <c r="I12" s="14"/>
    </row>
    <row r="13" spans="1:9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8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1836033.8199999996</v>
      </c>
      <c r="D16" s="273"/>
      <c r="E16" s="263">
        <v>1377153.8399999996</v>
      </c>
      <c r="F16" s="264"/>
      <c r="G16" s="263">
        <v>458879.98000000004</v>
      </c>
      <c r="H16" s="265"/>
      <c r="I16" s="14"/>
    </row>
    <row r="17" spans="2:15">
      <c r="B17" s="89" t="s">
        <v>15</v>
      </c>
      <c r="C17" s="235">
        <v>1765862.42</v>
      </c>
      <c r="D17" s="298"/>
      <c r="E17" s="235">
        <v>1328480.44</v>
      </c>
      <c r="F17" s="236"/>
      <c r="G17" s="235">
        <v>437381.98</v>
      </c>
      <c r="H17" s="237"/>
      <c r="I17" s="14"/>
    </row>
    <row r="18" spans="2:15" ht="16.5" thickBot="1">
      <c r="B18" s="90" t="s">
        <v>176</v>
      </c>
      <c r="C18" s="235">
        <v>1807437.4818</v>
      </c>
      <c r="D18" s="298"/>
      <c r="E18" s="260">
        <v>1381251.4818</v>
      </c>
      <c r="F18" s="261"/>
      <c r="G18" s="260">
        <v>426186</v>
      </c>
      <c r="H18" s="262"/>
      <c r="I18" s="14"/>
    </row>
    <row r="19" spans="2:15" ht="36.75" thickBot="1">
      <c r="B19" s="92" t="s">
        <v>274</v>
      </c>
      <c r="C19" s="249">
        <f>E19+G19</f>
        <v>-41575.061800000025</v>
      </c>
      <c r="D19" s="250"/>
      <c r="E19" s="251">
        <f>E17-E18</f>
        <v>-52771.041800000006</v>
      </c>
      <c r="F19" s="252"/>
      <c r="G19" s="251">
        <f>G17-G18</f>
        <v>11195.979999999981</v>
      </c>
      <c r="H19" s="253"/>
      <c r="I19" s="14"/>
    </row>
    <row r="20" spans="2:15">
      <c r="B20" s="11"/>
      <c r="C20" s="76"/>
      <c r="D20" s="87"/>
      <c r="E20" s="216"/>
      <c r="I20" s="14"/>
    </row>
    <row r="21" spans="2:15" ht="22.5" customHeight="1" thickBot="1">
      <c r="B21" s="254" t="s">
        <v>302</v>
      </c>
      <c r="C21" s="254"/>
      <c r="D21" s="254"/>
      <c r="E21" s="254"/>
      <c r="F21" s="254"/>
      <c r="G21" s="254"/>
      <c r="H21" s="254"/>
      <c r="L21" s="131"/>
      <c r="M21" s="241" t="s">
        <v>278</v>
      </c>
      <c r="N21" s="241" t="s">
        <v>279</v>
      </c>
    </row>
    <row r="22" spans="2:15" ht="32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L22" s="131"/>
      <c r="M22" s="242"/>
      <c r="N22" s="242"/>
    </row>
    <row r="23" spans="2:15" ht="53.2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M23" s="204">
        <v>191994.41</v>
      </c>
      <c r="N23" s="204">
        <f>M23</f>
        <v>191994.41</v>
      </c>
    </row>
    <row r="24" spans="2:15" ht="56.25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37034.454720812188</v>
      </c>
      <c r="G24" s="21">
        <f>$N$23/$N$24*E24</f>
        <v>37034.454720812188</v>
      </c>
      <c r="H24" s="22">
        <f>F24-G24</f>
        <v>0</v>
      </c>
      <c r="I24" s="57"/>
      <c r="J24" s="24"/>
      <c r="K24" s="24"/>
      <c r="L24" s="149"/>
      <c r="M24" s="205">
        <f>E33-E31</f>
        <v>17.73</v>
      </c>
      <c r="N24" s="205">
        <f>E33-E31</f>
        <v>17.73</v>
      </c>
      <c r="O24" s="148"/>
    </row>
    <row r="25" spans="2:15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41149.394134235758</v>
      </c>
      <c r="G25" s="4">
        <f>$N$23/$N$24*E25</f>
        <v>41149.394134235758</v>
      </c>
      <c r="H25" s="22">
        <f t="shared" ref="H25:H30" si="0">F25-G25</f>
        <v>0</v>
      </c>
      <c r="I25" s="58"/>
      <c r="J25" s="2"/>
      <c r="K25" s="2"/>
      <c r="L25" s="154"/>
      <c r="M25" s="186"/>
      <c r="N25" s="186"/>
      <c r="O25" s="154"/>
    </row>
    <row r="26" spans="2:15" ht="56.25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3790.0757755217146</v>
      </c>
      <c r="G26" s="4">
        <f t="shared" ref="G26:G29" si="2">$N$23/$N$24*E26</f>
        <v>3790.0757755217146</v>
      </c>
      <c r="H26" s="22">
        <f t="shared" si="0"/>
        <v>0</v>
      </c>
      <c r="I26" s="41"/>
      <c r="L26" s="131"/>
    </row>
    <row r="27" spans="2:15" ht="25.5">
      <c r="B27" s="27" t="s">
        <v>172</v>
      </c>
      <c r="C27" s="28" t="s">
        <v>190</v>
      </c>
      <c r="D27" s="19" t="s">
        <v>188</v>
      </c>
      <c r="E27" s="94">
        <v>0</v>
      </c>
      <c r="F27" s="20">
        <f>$M$23/$M$24*E27</f>
        <v>0</v>
      </c>
      <c r="G27" s="4">
        <f t="shared" ref="G27" si="3">$N$23/$N$24*E27</f>
        <v>0</v>
      </c>
      <c r="H27" s="22">
        <f t="shared" si="0"/>
        <v>0</v>
      </c>
      <c r="I27" s="41"/>
      <c r="L27" s="131"/>
    </row>
    <row r="28" spans="2:15" ht="51">
      <c r="B28" s="26" t="s">
        <v>179</v>
      </c>
      <c r="C28" s="29" t="s">
        <v>211</v>
      </c>
      <c r="D28" s="19" t="s">
        <v>188</v>
      </c>
      <c r="E28" s="94">
        <v>1.89</v>
      </c>
      <c r="F28" s="20">
        <f t="shared" si="1"/>
        <v>20466.409187817258</v>
      </c>
      <c r="G28" s="4">
        <f t="shared" si="2"/>
        <v>20466.409187817258</v>
      </c>
      <c r="H28" s="22">
        <f t="shared" si="0"/>
        <v>0</v>
      </c>
      <c r="I28" s="41"/>
    </row>
    <row r="29" spans="2:15" ht="216" customHeight="1">
      <c r="B29" s="26" t="s">
        <v>204</v>
      </c>
      <c r="C29" s="29" t="s">
        <v>191</v>
      </c>
      <c r="D29" s="19" t="s">
        <v>188</v>
      </c>
      <c r="E29" s="94">
        <v>6.94</v>
      </c>
      <c r="F29" s="20">
        <f t="shared" si="1"/>
        <v>75151.788234630585</v>
      </c>
      <c r="G29" s="4">
        <f t="shared" si="2"/>
        <v>75151.788234630585</v>
      </c>
      <c r="H29" s="22">
        <f t="shared" si="0"/>
        <v>0</v>
      </c>
      <c r="I29" s="58"/>
      <c r="J29" s="2"/>
      <c r="K29" s="2"/>
      <c r="L29" s="159"/>
      <c r="M29" s="186"/>
      <c r="N29" s="186"/>
    </row>
    <row r="30" spans="2:15" ht="121.5" customHeight="1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1"/>
        <v>3248.6363790186128</v>
      </c>
      <c r="G30" s="4">
        <f t="shared" ref="G30" si="4">$N$23/$N$24*E30</f>
        <v>3248.6363790186128</v>
      </c>
      <c r="H30" s="22">
        <f t="shared" si="0"/>
        <v>0</v>
      </c>
      <c r="I30" s="41"/>
    </row>
    <row r="31" spans="2:15" ht="56.25">
      <c r="B31" s="27" t="s">
        <v>193</v>
      </c>
      <c r="C31" s="6" t="s">
        <v>205</v>
      </c>
      <c r="D31" s="19" t="s">
        <v>188</v>
      </c>
      <c r="E31" s="94">
        <v>4</v>
      </c>
      <c r="F31" s="20">
        <v>43315.15</v>
      </c>
      <c r="G31" s="4">
        <v>30000</v>
      </c>
      <c r="H31" s="22">
        <f>F31-G31</f>
        <v>13315.150000000001</v>
      </c>
      <c r="I31" s="41"/>
      <c r="L31" s="131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1.03</v>
      </c>
      <c r="F32" s="20">
        <f t="shared" si="1"/>
        <v>11153.651567963903</v>
      </c>
      <c r="G32" s="4">
        <f t="shared" ref="G32" si="5">$N$23/$N$24*E32</f>
        <v>11153.651567963903</v>
      </c>
      <c r="H32" s="30">
        <f>F32-G32</f>
        <v>0</v>
      </c>
      <c r="I32" s="41"/>
    </row>
    <row r="33" spans="2:15" ht="16.5" thickBot="1">
      <c r="B33" s="51" t="s">
        <v>177</v>
      </c>
      <c r="C33" s="52"/>
      <c r="D33" s="52"/>
      <c r="E33" s="96">
        <f>SUM(E24:E32)</f>
        <v>21.73</v>
      </c>
      <c r="F33" s="53">
        <f>SUM(F24:F32)</f>
        <v>235309.56000000003</v>
      </c>
      <c r="G33" s="54">
        <f>SUM(G24:G32)</f>
        <v>221994.41000000003</v>
      </c>
      <c r="H33" s="35">
        <f>SUM(H24:H32)</f>
        <v>13315.150000000001</v>
      </c>
      <c r="I33" s="41"/>
    </row>
    <row r="34" spans="2:15">
      <c r="B34" s="14"/>
      <c r="C34" s="14"/>
      <c r="D34" s="14"/>
      <c r="E34" s="82"/>
      <c r="G34" s="82"/>
      <c r="O34" s="132"/>
    </row>
    <row r="35" spans="2:15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70"/>
      <c r="J35" s="70"/>
    </row>
    <row r="36" spans="2:15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71"/>
      <c r="J36" s="72"/>
      <c r="K36" s="39"/>
      <c r="L36" s="176"/>
      <c r="M36" s="187"/>
      <c r="N36" s="187"/>
    </row>
    <row r="37" spans="2:15">
      <c r="B37" s="88" t="s">
        <v>14</v>
      </c>
      <c r="C37" s="238">
        <f>E37+G37</f>
        <v>2071343.3799999997</v>
      </c>
      <c r="D37" s="239"/>
      <c r="E37" s="263">
        <f>F24+F25+F26+F27+F28+F29+F30+F32+E16</f>
        <v>1569148.2499999995</v>
      </c>
      <c r="F37" s="264"/>
      <c r="G37" s="263">
        <f>F31+G16</f>
        <v>502195.13000000006</v>
      </c>
      <c r="H37" s="265"/>
      <c r="I37" s="73"/>
      <c r="J37" s="74"/>
      <c r="K37" s="7"/>
      <c r="L37" s="179"/>
      <c r="M37" s="188"/>
    </row>
    <row r="38" spans="2:15">
      <c r="B38" s="89" t="s">
        <v>15</v>
      </c>
      <c r="C38" s="235">
        <f>E38+G38</f>
        <v>1990640.18</v>
      </c>
      <c r="D38" s="236"/>
      <c r="E38" s="235">
        <f>E17+183401.27</f>
        <v>1511881.71</v>
      </c>
      <c r="F38" s="236"/>
      <c r="G38" s="235">
        <f>G17+41376.49</f>
        <v>478758.47</v>
      </c>
      <c r="H38" s="237"/>
      <c r="I38" s="73"/>
      <c r="J38" s="74"/>
      <c r="K38" s="9"/>
      <c r="L38" s="179"/>
      <c r="M38" s="188"/>
    </row>
    <row r="39" spans="2:15" ht="16.5" thickBot="1">
      <c r="B39" s="90" t="s">
        <v>176</v>
      </c>
      <c r="C39" s="269">
        <f>E39+G39</f>
        <v>2029431.8917999999</v>
      </c>
      <c r="D39" s="270"/>
      <c r="E39" s="260">
        <f>G24+G25+G26+G27+G28+G29+G30+G32+E18</f>
        <v>1573245.8917999999</v>
      </c>
      <c r="F39" s="261"/>
      <c r="G39" s="260">
        <f>G31+G18</f>
        <v>456186</v>
      </c>
      <c r="H39" s="262"/>
      <c r="I39" s="73"/>
      <c r="J39" s="74"/>
      <c r="K39" s="41"/>
      <c r="L39" s="156"/>
    </row>
    <row r="40" spans="2:15" ht="30.75" customHeight="1" thickBot="1">
      <c r="B40" s="92" t="s">
        <v>275</v>
      </c>
      <c r="C40" s="249">
        <f>E40+G40</f>
        <v>-38791.711799999932</v>
      </c>
      <c r="D40" s="250"/>
      <c r="E40" s="251">
        <f>E38-E39</f>
        <v>-61364.181799999904</v>
      </c>
      <c r="F40" s="252"/>
      <c r="G40" s="251">
        <f>G38-G39</f>
        <v>22572.469999999972</v>
      </c>
      <c r="H40" s="253"/>
      <c r="I40" s="73"/>
      <c r="J40" s="74"/>
      <c r="K40" s="41"/>
      <c r="L40" s="156"/>
    </row>
    <row r="41" spans="2:15" ht="27.7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"/>
      <c r="K41" s="2"/>
      <c r="L41" s="154"/>
      <c r="M41" s="186"/>
      <c r="N41" s="186"/>
      <c r="O41" s="154"/>
    </row>
    <row r="42" spans="2:15" ht="9.75" customHeight="1">
      <c r="B42" s="219"/>
      <c r="C42" s="219"/>
      <c r="D42" s="219"/>
      <c r="E42" s="220"/>
      <c r="F42" s="259"/>
      <c r="G42" s="259"/>
      <c r="H42" s="75"/>
      <c r="I42" s="75"/>
      <c r="J42" s="2"/>
      <c r="K42" s="2"/>
      <c r="L42" s="154"/>
      <c r="M42" s="186"/>
      <c r="N42" s="186"/>
      <c r="O42" s="154"/>
    </row>
    <row r="43" spans="2:15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"/>
      <c r="K43" s="2"/>
      <c r="L43" s="154"/>
      <c r="M43" s="186"/>
      <c r="N43" s="186"/>
      <c r="O43" s="154"/>
    </row>
    <row r="44" spans="2:15" ht="9.75" customHeight="1">
      <c r="B44" s="219"/>
      <c r="C44" s="219"/>
      <c r="D44" s="219"/>
      <c r="E44" s="220"/>
      <c r="F44" s="267"/>
      <c r="G44" s="267"/>
      <c r="H44" s="75"/>
      <c r="I44" s="75"/>
    </row>
    <row r="45" spans="2:15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</row>
    <row r="46" spans="2:15" ht="10.5" customHeight="1">
      <c r="B46" s="42"/>
      <c r="C46" s="42"/>
      <c r="D46" s="42"/>
      <c r="E46" s="220"/>
      <c r="F46" s="43"/>
      <c r="G46" s="44"/>
      <c r="H46" s="45"/>
      <c r="I46" s="8"/>
    </row>
    <row r="47" spans="2:15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5" ht="9.75" customHeight="1">
      <c r="E48" s="220"/>
      <c r="F48" s="3"/>
      <c r="H48" s="3"/>
    </row>
    <row r="49" spans="6:8">
      <c r="F49" s="3"/>
      <c r="H49" s="3"/>
    </row>
  </sheetData>
  <mergeCells count="54">
    <mergeCell ref="C43:E43"/>
    <mergeCell ref="C45:E45"/>
    <mergeCell ref="C47:E47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8:H18"/>
    <mergeCell ref="E19:F19"/>
    <mergeCell ref="G19:H19"/>
    <mergeCell ref="G15:H15"/>
    <mergeCell ref="E40:F40"/>
    <mergeCell ref="G40:H40"/>
    <mergeCell ref="E16:F16"/>
    <mergeCell ref="G16:H16"/>
    <mergeCell ref="E17:F17"/>
    <mergeCell ref="G17:H17"/>
    <mergeCell ref="E18:F18"/>
    <mergeCell ref="F41:G41"/>
    <mergeCell ref="C40:D40"/>
    <mergeCell ref="E38:F38"/>
    <mergeCell ref="G38:H38"/>
    <mergeCell ref="E39:F39"/>
    <mergeCell ref="G39:H39"/>
    <mergeCell ref="C39:D39"/>
    <mergeCell ref="C41:E41"/>
    <mergeCell ref="C38:D38"/>
    <mergeCell ref="F45:G45"/>
    <mergeCell ref="F47:G47"/>
    <mergeCell ref="F42:G42"/>
    <mergeCell ref="F43:G43"/>
    <mergeCell ref="F44:G44"/>
    <mergeCell ref="C15:D15"/>
    <mergeCell ref="C16:D16"/>
    <mergeCell ref="C17:D17"/>
    <mergeCell ref="C18:D18"/>
    <mergeCell ref="C19:D19"/>
    <mergeCell ref="M21:M22"/>
    <mergeCell ref="N21:N22"/>
    <mergeCell ref="B35:H35"/>
    <mergeCell ref="C36:D36"/>
    <mergeCell ref="C37:D37"/>
    <mergeCell ref="E36:F36"/>
    <mergeCell ref="G36:H36"/>
    <mergeCell ref="E37:F37"/>
    <mergeCell ref="G37:H37"/>
  </mergeCells>
  <pageMargins left="0.19685039370078741" right="0.19685039370078741" top="0.16" bottom="0.25" header="0.31496062992125984" footer="0.24"/>
  <pageSetup paperSize="9" scale="47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49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9" style="3" customWidth="1"/>
    <col min="3" max="3" width="22.5703125" style="78" customWidth="1"/>
    <col min="4" max="4" width="8.28515625" style="78" customWidth="1"/>
    <col min="5" max="5" width="9.42578125" style="78" customWidth="1"/>
    <col min="6" max="6" width="10.28515625" style="3" customWidth="1"/>
    <col min="7" max="7" width="10.42578125" style="3" customWidth="1"/>
    <col min="8" max="8" width="10.28515625" style="3" customWidth="1"/>
    <col min="9" max="9" width="10.7109375" style="3" bestFit="1" customWidth="1"/>
    <col min="10" max="12" width="9.140625" style="3"/>
    <col min="13" max="13" width="17.42578125" style="185" customWidth="1"/>
    <col min="14" max="14" width="17.71093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0.25" customHeight="1">
      <c r="A3" s="5"/>
      <c r="B3" s="231"/>
      <c r="C3" s="231"/>
      <c r="D3" s="231"/>
      <c r="E3" s="231"/>
      <c r="F3" s="231"/>
      <c r="G3" s="231"/>
      <c r="H3" s="231"/>
    </row>
    <row r="4" spans="1:9" ht="15.7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181</v>
      </c>
      <c r="E5" s="233"/>
    </row>
    <row r="6" spans="1:9">
      <c r="B6" s="8" t="s">
        <v>1</v>
      </c>
      <c r="C6" s="45"/>
      <c r="D6" s="217">
        <v>1986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8</v>
      </c>
      <c r="E8" s="217"/>
    </row>
    <row r="9" spans="1:9" ht="30.75" hidden="1" customHeight="1" outlineLevel="1">
      <c r="B9" s="111" t="s">
        <v>4</v>
      </c>
      <c r="C9" s="122"/>
      <c r="D9" s="217" t="s">
        <v>158</v>
      </c>
      <c r="E9" s="217"/>
    </row>
    <row r="10" spans="1:9" collapsed="1">
      <c r="B10" s="8" t="s">
        <v>5</v>
      </c>
      <c r="C10" s="45"/>
      <c r="D10" s="217" t="s">
        <v>260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159</v>
      </c>
      <c r="E12" s="216"/>
      <c r="I12" s="14"/>
    </row>
    <row r="13" spans="1:9" ht="9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7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1554595.1992399045</v>
      </c>
      <c r="D16" s="273"/>
      <c r="E16" s="263">
        <v>1228846.3692399045</v>
      </c>
      <c r="F16" s="264"/>
      <c r="G16" s="263">
        <v>325748.82999999996</v>
      </c>
      <c r="H16" s="265"/>
      <c r="I16" s="14"/>
    </row>
    <row r="17" spans="2:14">
      <c r="B17" s="89" t="s">
        <v>15</v>
      </c>
      <c r="C17" s="235">
        <v>1484995.13</v>
      </c>
      <c r="D17" s="298"/>
      <c r="E17" s="235">
        <v>1175771.0499999998</v>
      </c>
      <c r="F17" s="236"/>
      <c r="G17" s="235">
        <v>309224.07999999996</v>
      </c>
      <c r="H17" s="237"/>
      <c r="I17" s="14"/>
    </row>
    <row r="18" spans="2:14" ht="16.5" thickBot="1">
      <c r="B18" s="90" t="s">
        <v>176</v>
      </c>
      <c r="C18" s="269">
        <v>1503686.8092263087</v>
      </c>
      <c r="D18" s="327"/>
      <c r="E18" s="260">
        <v>1245017.8092263087</v>
      </c>
      <c r="F18" s="261"/>
      <c r="G18" s="260">
        <v>258669</v>
      </c>
      <c r="H18" s="262"/>
      <c r="I18" s="14"/>
    </row>
    <row r="19" spans="2:14" ht="25.5" thickBot="1">
      <c r="B19" s="92" t="s">
        <v>274</v>
      </c>
      <c r="C19" s="249">
        <f>E19+G19</f>
        <v>-18691.679226308945</v>
      </c>
      <c r="D19" s="250"/>
      <c r="E19" s="251">
        <f>E17-E18</f>
        <v>-69246.759226308903</v>
      </c>
      <c r="F19" s="252"/>
      <c r="G19" s="251">
        <f>G17-G18</f>
        <v>50555.079999999958</v>
      </c>
      <c r="H19" s="253"/>
      <c r="I19" s="14"/>
    </row>
    <row r="20" spans="2:14" ht="10.5" customHeight="1">
      <c r="B20" s="11"/>
      <c r="C20" s="76"/>
      <c r="D20" s="87"/>
      <c r="E20" s="216"/>
      <c r="I20" s="14"/>
    </row>
    <row r="21" spans="2:14" ht="18.7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27.7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54.7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174523.65</v>
      </c>
      <c r="N23" s="204">
        <f>M23</f>
        <v>174523.65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35380.609543568469</v>
      </c>
      <c r="G24" s="21">
        <f>$N$23/$N$24*E24</f>
        <v>35380.609543568469</v>
      </c>
      <c r="H24" s="22">
        <f>F24-G24</f>
        <v>0</v>
      </c>
      <c r="I24" s="23"/>
      <c r="J24" s="23"/>
      <c r="K24" s="24"/>
      <c r="L24" s="25"/>
      <c r="M24" s="205">
        <f>E33-E31</f>
        <v>16.869999999999997</v>
      </c>
      <c r="N24" s="205">
        <f>E33-E31</f>
        <v>16.869999999999997</v>
      </c>
    </row>
    <row r="25" spans="2:14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39311.788381742743</v>
      </c>
      <c r="G25" s="21">
        <f>$N$23/$N$24*E25</f>
        <v>39311.788381742743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2.5" customHeight="1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3620.822614107884</v>
      </c>
      <c r="G26" s="21">
        <f t="shared" ref="G26:G29" si="2">$N$23/$N$24*E26</f>
        <v>3620.822614107884</v>
      </c>
      <c r="H26" s="22">
        <f t="shared" si="0"/>
        <v>0</v>
      </c>
      <c r="I26" s="23"/>
      <c r="J26" s="23"/>
      <c r="L26" s="14"/>
    </row>
    <row r="27" spans="2:14" ht="25.5">
      <c r="B27" s="27" t="s">
        <v>172</v>
      </c>
      <c r="C27" s="28" t="s">
        <v>190</v>
      </c>
      <c r="D27" s="19" t="s">
        <v>188</v>
      </c>
      <c r="E27" s="94">
        <v>0.55000000000000004</v>
      </c>
      <c r="F27" s="20">
        <f t="shared" ref="F27" si="3">$M$23/$M$24*E27</f>
        <v>5689.8641078838182</v>
      </c>
      <c r="G27" s="21">
        <f t="shared" ref="G27" si="4">$N$23/$N$24*E27</f>
        <v>5689.8641078838182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1.5</v>
      </c>
      <c r="F28" s="20">
        <f t="shared" si="1"/>
        <v>15517.811203319503</v>
      </c>
      <c r="G28" s="21">
        <f t="shared" si="2"/>
        <v>15517.811203319503</v>
      </c>
      <c r="H28" s="22">
        <f t="shared" si="0"/>
        <v>0</v>
      </c>
      <c r="I28" s="23"/>
      <c r="J28" s="23"/>
    </row>
    <row r="29" spans="2:14" ht="224.25" customHeight="1">
      <c r="B29" s="26" t="s">
        <v>204</v>
      </c>
      <c r="C29" s="29" t="s">
        <v>191</v>
      </c>
      <c r="D29" s="19" t="s">
        <v>188</v>
      </c>
      <c r="E29" s="94">
        <v>6.44</v>
      </c>
      <c r="F29" s="20">
        <f t="shared" si="1"/>
        <v>66623.13609958507</v>
      </c>
      <c r="G29" s="21">
        <f t="shared" si="2"/>
        <v>66623.13609958507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08.75" customHeight="1">
      <c r="B30" s="26" t="s">
        <v>192</v>
      </c>
      <c r="C30" s="6" t="s">
        <v>205</v>
      </c>
      <c r="D30" s="19" t="s">
        <v>188</v>
      </c>
      <c r="E30" s="94">
        <v>0.2</v>
      </c>
      <c r="F30" s="20">
        <f t="shared" si="1"/>
        <v>2069.0414937759338</v>
      </c>
      <c r="G30" s="21">
        <f t="shared" ref="G30" si="5">$N$23/$N$24*E30</f>
        <v>2069.0414937759338</v>
      </c>
      <c r="H30" s="22">
        <f t="shared" si="0"/>
        <v>0</v>
      </c>
      <c r="I30" s="23"/>
      <c r="J30" s="23"/>
    </row>
    <row r="31" spans="2:14" ht="56.25">
      <c r="B31" s="27" t="s">
        <v>193</v>
      </c>
      <c r="C31" s="6" t="s">
        <v>205</v>
      </c>
      <c r="D31" s="19" t="s">
        <v>188</v>
      </c>
      <c r="E31" s="94">
        <v>4</v>
      </c>
      <c r="F31" s="20">
        <v>41380.83</v>
      </c>
      <c r="G31" s="4">
        <v>35482</v>
      </c>
      <c r="H31" s="22">
        <f>F31-G31</f>
        <v>5898.8300000000017</v>
      </c>
      <c r="I31" s="23"/>
      <c r="J31" s="23"/>
      <c r="L31" s="14"/>
    </row>
    <row r="32" spans="2:14" ht="16.5" thickBot="1">
      <c r="B32" s="27" t="s">
        <v>173</v>
      </c>
      <c r="C32" s="49" t="s">
        <v>191</v>
      </c>
      <c r="D32" s="19" t="s">
        <v>188</v>
      </c>
      <c r="E32" s="94">
        <v>0.61</v>
      </c>
      <c r="F32" s="20">
        <f t="shared" si="1"/>
        <v>6310.5765560165983</v>
      </c>
      <c r="G32" s="21">
        <f t="shared" ref="G32" si="6">$N$23/$N$24*E32</f>
        <v>6310.5765560165983</v>
      </c>
      <c r="H32" s="30">
        <f>F32-G32</f>
        <v>0</v>
      </c>
      <c r="I32" s="23"/>
      <c r="J32" s="23"/>
    </row>
    <row r="33" spans="2:14" ht="16.5" thickBot="1">
      <c r="B33" s="31" t="s">
        <v>177</v>
      </c>
      <c r="C33" s="32"/>
      <c r="D33" s="32"/>
      <c r="E33" s="102">
        <f>SUM(E24:E32)</f>
        <v>20.869999999999997</v>
      </c>
      <c r="F33" s="33">
        <f>SUM(F24:F32)</f>
        <v>215904.48</v>
      </c>
      <c r="G33" s="34">
        <f>SUM(G24:G32)</f>
        <v>210005.65000000002</v>
      </c>
      <c r="H33" s="35">
        <f>SUM(H24:H32)</f>
        <v>5898.8300000000017</v>
      </c>
      <c r="I33" s="36"/>
      <c r="J33" s="36"/>
    </row>
    <row r="34" spans="2:14">
      <c r="B34" s="14"/>
      <c r="C34" s="14"/>
      <c r="D34" s="14"/>
      <c r="E34" s="82"/>
      <c r="F34" s="82"/>
      <c r="G34" s="82"/>
      <c r="H34" s="78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1770499.6792399043</v>
      </c>
      <c r="D37" s="239"/>
      <c r="E37" s="263">
        <f>F24+F25+F26+F27+F28+F29+F30+F32+E16</f>
        <v>1403370.0192399044</v>
      </c>
      <c r="F37" s="264"/>
      <c r="G37" s="263">
        <f>F31+G16</f>
        <v>367129.66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1735004.5499999998</v>
      </c>
      <c r="D38" s="236"/>
      <c r="E38" s="235">
        <f>E17+202091.95</f>
        <v>1377862.9999999998</v>
      </c>
      <c r="F38" s="236"/>
      <c r="G38" s="235">
        <f>G17+47917.47</f>
        <v>357141.54999999993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1713692.4592263089</v>
      </c>
      <c r="D39" s="270"/>
      <c r="E39" s="260">
        <f>G24+G25+G26+G27+G28+G29+G30+G32+E18</f>
        <v>1419541.4592263089</v>
      </c>
      <c r="F39" s="261"/>
      <c r="G39" s="260">
        <f>G31+G18</f>
        <v>294151</v>
      </c>
      <c r="H39" s="262"/>
      <c r="I39" s="222"/>
      <c r="J39" s="222"/>
      <c r="K39" s="41"/>
      <c r="L39" s="41"/>
    </row>
    <row r="40" spans="2:14" ht="25.5" thickBot="1">
      <c r="B40" s="92" t="s">
        <v>275</v>
      </c>
      <c r="C40" s="249">
        <f>E40+G40</f>
        <v>21312.090773690841</v>
      </c>
      <c r="D40" s="250"/>
      <c r="E40" s="251">
        <f>E38-E39</f>
        <v>-41678.459226309089</v>
      </c>
      <c r="F40" s="252"/>
      <c r="G40" s="251">
        <f>G38-G39</f>
        <v>62990.54999999993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75"/>
      <c r="I41" s="75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75"/>
      <c r="I42" s="75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75"/>
      <c r="I43" s="75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75"/>
      <c r="I44" s="75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75"/>
      <c r="I45" s="75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8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75"/>
      <c r="I47" s="75"/>
    </row>
    <row r="48" spans="2:14" ht="9" customHeight="1">
      <c r="B48" s="46"/>
      <c r="C48" s="46"/>
      <c r="D48" s="46"/>
      <c r="E48" s="220"/>
    </row>
    <row r="49" spans="3:5">
      <c r="C49" s="82"/>
      <c r="E49" s="47"/>
    </row>
  </sheetData>
  <mergeCells count="54">
    <mergeCell ref="B14:H14"/>
    <mergeCell ref="E15:F15"/>
    <mergeCell ref="G15:H15"/>
    <mergeCell ref="E16:F16"/>
    <mergeCell ref="G16:H16"/>
    <mergeCell ref="C15:D15"/>
    <mergeCell ref="C16:D16"/>
    <mergeCell ref="B1:H1"/>
    <mergeCell ref="B2:H3"/>
    <mergeCell ref="F44:G44"/>
    <mergeCell ref="F45:G45"/>
    <mergeCell ref="F41:G41"/>
    <mergeCell ref="F42:G42"/>
    <mergeCell ref="F43:G43"/>
    <mergeCell ref="E39:F39"/>
    <mergeCell ref="G39:H39"/>
    <mergeCell ref="E40:F40"/>
    <mergeCell ref="G40:H40"/>
    <mergeCell ref="E37:F37"/>
    <mergeCell ref="G37:H37"/>
    <mergeCell ref="E38:F38"/>
    <mergeCell ref="G38:H38"/>
    <mergeCell ref="D5:E5"/>
    <mergeCell ref="F47:G47"/>
    <mergeCell ref="B35:H35"/>
    <mergeCell ref="E36:F36"/>
    <mergeCell ref="G36:H36"/>
    <mergeCell ref="B22:B23"/>
    <mergeCell ref="C22:C23"/>
    <mergeCell ref="D22:D23"/>
    <mergeCell ref="E22:E23"/>
    <mergeCell ref="C40:D40"/>
    <mergeCell ref="C41:E41"/>
    <mergeCell ref="C43:E43"/>
    <mergeCell ref="C45:E45"/>
    <mergeCell ref="C47:E47"/>
    <mergeCell ref="F22:G22"/>
    <mergeCell ref="H22:H23"/>
    <mergeCell ref="C17:D17"/>
    <mergeCell ref="C18:D18"/>
    <mergeCell ref="C19:D19"/>
    <mergeCell ref="C39:D39"/>
    <mergeCell ref="B21:H21"/>
    <mergeCell ref="E17:F17"/>
    <mergeCell ref="G17:H17"/>
    <mergeCell ref="E18:F18"/>
    <mergeCell ref="G18:H18"/>
    <mergeCell ref="E19:F19"/>
    <mergeCell ref="G19:H19"/>
    <mergeCell ref="M21:M22"/>
    <mergeCell ref="N21:N22"/>
    <mergeCell ref="C36:D36"/>
    <mergeCell ref="C37:D37"/>
    <mergeCell ref="C38:D38"/>
  </mergeCells>
  <printOptions horizontalCentered="1"/>
  <pageMargins left="0.19685039370078741" right="0.19685039370078741" top="0.15748031496062992" bottom="0.23622047244094491" header="0.16" footer="0.25"/>
  <pageSetup paperSize="9" scale="4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49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6.140625" style="3" customWidth="1"/>
    <col min="3" max="3" width="22.85546875" style="78" customWidth="1"/>
    <col min="4" max="4" width="8.85546875" style="78" customWidth="1"/>
    <col min="5" max="5" width="10.7109375" style="78" customWidth="1"/>
    <col min="6" max="6" width="10.42578125" style="3" customWidth="1"/>
    <col min="7" max="8" width="10.28515625" style="3" customWidth="1"/>
    <col min="9" max="9" width="10.7109375" style="3" bestFit="1" customWidth="1"/>
    <col min="10" max="12" width="9.140625" style="3"/>
    <col min="13" max="13" width="12.85546875" style="185" customWidth="1"/>
    <col min="14" max="14" width="14.14062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0.25" customHeight="1">
      <c r="A3" s="5"/>
      <c r="B3" s="231"/>
      <c r="C3" s="231"/>
      <c r="D3" s="231"/>
      <c r="E3" s="231"/>
      <c r="F3" s="231"/>
      <c r="G3" s="231"/>
      <c r="H3" s="231"/>
    </row>
    <row r="4" spans="1:9" ht="1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182</v>
      </c>
      <c r="E5" s="233"/>
    </row>
    <row r="6" spans="1:9">
      <c r="B6" s="8" t="s">
        <v>1</v>
      </c>
      <c r="C6" s="45"/>
      <c r="D6" s="217">
        <v>1987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8</v>
      </c>
      <c r="E8" s="217"/>
    </row>
    <row r="9" spans="1:9" ht="30.75" hidden="1" customHeight="1" outlineLevel="1">
      <c r="B9" s="111" t="s">
        <v>4</v>
      </c>
      <c r="C9" s="122"/>
      <c r="D9" s="217" t="s">
        <v>158</v>
      </c>
      <c r="E9" s="217"/>
    </row>
    <row r="10" spans="1:9" collapsed="1">
      <c r="B10" s="8" t="s">
        <v>5</v>
      </c>
      <c r="C10" s="45"/>
      <c r="D10" s="217" t="s">
        <v>261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159</v>
      </c>
      <c r="E12" s="216"/>
      <c r="I12" s="14"/>
    </row>
    <row r="13" spans="1:9" ht="6.7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51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1522453.559602635</v>
      </c>
      <c r="D16" s="273"/>
      <c r="E16" s="263">
        <v>1203445.369602635</v>
      </c>
      <c r="F16" s="264"/>
      <c r="G16" s="263">
        <v>319008.19</v>
      </c>
      <c r="H16" s="265"/>
      <c r="I16" s="14"/>
    </row>
    <row r="17" spans="2:14">
      <c r="B17" s="89" t="s">
        <v>15</v>
      </c>
      <c r="C17" s="235">
        <v>1531603.51</v>
      </c>
      <c r="D17" s="298"/>
      <c r="E17" s="235">
        <v>1217182</v>
      </c>
      <c r="F17" s="236"/>
      <c r="G17" s="235">
        <v>314421.50999999995</v>
      </c>
      <c r="H17" s="237"/>
      <c r="I17" s="14"/>
    </row>
    <row r="18" spans="2:14" ht="16.5" thickBot="1">
      <c r="B18" s="90" t="s">
        <v>176</v>
      </c>
      <c r="C18" s="269">
        <v>1588604.1664216372</v>
      </c>
      <c r="D18" s="327"/>
      <c r="E18" s="260">
        <v>1217635.1664216372</v>
      </c>
      <c r="F18" s="261"/>
      <c r="G18" s="260">
        <v>370969</v>
      </c>
      <c r="H18" s="262"/>
      <c r="I18" s="14"/>
    </row>
    <row r="19" spans="2:14" ht="30" customHeight="1" thickBot="1">
      <c r="B19" s="92" t="s">
        <v>274</v>
      </c>
      <c r="C19" s="249">
        <f>E19+G19</f>
        <v>-57000.656421637221</v>
      </c>
      <c r="D19" s="250"/>
      <c r="E19" s="251">
        <f>E17-E18</f>
        <v>-453.16642163717188</v>
      </c>
      <c r="F19" s="252"/>
      <c r="G19" s="251">
        <f>G17-G18</f>
        <v>-56547.490000000049</v>
      </c>
      <c r="H19" s="253"/>
      <c r="I19" s="14"/>
    </row>
    <row r="20" spans="2:14">
      <c r="B20" s="11"/>
      <c r="C20" s="76"/>
      <c r="D20" s="87"/>
      <c r="E20" s="216"/>
      <c r="I20" s="14"/>
    </row>
    <row r="21" spans="2:14" ht="17.2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27.7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54.7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171021.45</v>
      </c>
      <c r="N23" s="204">
        <f>M23</f>
        <v>171021.45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34670.619976289279</v>
      </c>
      <c r="G24" s="21">
        <f>$N$23/$N$24*E24</f>
        <v>34670.619976289279</v>
      </c>
      <c r="H24" s="22">
        <f>F24-G24</f>
        <v>0</v>
      </c>
      <c r="I24" s="23"/>
      <c r="J24" s="23"/>
      <c r="K24" s="24"/>
      <c r="L24" s="25"/>
      <c r="M24" s="205">
        <f>E33-E31</f>
        <v>16.869999999999997</v>
      </c>
      <c r="N24" s="205">
        <f>E33-E31</f>
        <v>16.869999999999997</v>
      </c>
    </row>
    <row r="25" spans="2:14" ht="51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38522.911084765859</v>
      </c>
      <c r="G25" s="21">
        <f>$N$23/$N$24*E25</f>
        <v>38522.911084765859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2.5" customHeight="1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3548.16286307054</v>
      </c>
      <c r="G26" s="21">
        <f t="shared" ref="G26:G29" si="2">$N$23/$N$24*E26</f>
        <v>3548.16286307054</v>
      </c>
      <c r="H26" s="22">
        <f t="shared" si="0"/>
        <v>0</v>
      </c>
      <c r="I26" s="23"/>
      <c r="J26" s="23"/>
      <c r="L26" s="14"/>
    </row>
    <row r="27" spans="2:14" ht="25.5">
      <c r="B27" s="27" t="s">
        <v>172</v>
      </c>
      <c r="C27" s="28" t="s">
        <v>190</v>
      </c>
      <c r="D27" s="19" t="s">
        <v>188</v>
      </c>
      <c r="E27" s="94">
        <v>0.55000000000000004</v>
      </c>
      <c r="F27" s="20">
        <f t="shared" ref="F27" si="3">$M$23/$M$24*E27</f>
        <v>5575.6844991108492</v>
      </c>
      <c r="G27" s="21">
        <f t="shared" ref="G27" si="4">$N$23/$N$24*E27</f>
        <v>5575.6844991108492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1.5</v>
      </c>
      <c r="F28" s="20">
        <f t="shared" si="1"/>
        <v>15206.412270302315</v>
      </c>
      <c r="G28" s="21">
        <f t="shared" si="2"/>
        <v>15206.412270302315</v>
      </c>
      <c r="H28" s="22">
        <f t="shared" si="0"/>
        <v>0</v>
      </c>
      <c r="I28" s="23"/>
      <c r="J28" s="23"/>
    </row>
    <row r="29" spans="2:14" ht="207" customHeight="1">
      <c r="B29" s="26" t="s">
        <v>204</v>
      </c>
      <c r="C29" s="29" t="s">
        <v>191</v>
      </c>
      <c r="D29" s="19" t="s">
        <v>188</v>
      </c>
      <c r="E29" s="94">
        <v>6.44</v>
      </c>
      <c r="F29" s="20">
        <f t="shared" si="1"/>
        <v>65286.196680497946</v>
      </c>
      <c r="G29" s="21">
        <f t="shared" si="2"/>
        <v>65286.196680497946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08.75" customHeight="1">
      <c r="B30" s="26" t="s">
        <v>192</v>
      </c>
      <c r="C30" s="6" t="s">
        <v>205</v>
      </c>
      <c r="D30" s="19" t="s">
        <v>188</v>
      </c>
      <c r="E30" s="94">
        <v>0.2</v>
      </c>
      <c r="F30" s="20">
        <f t="shared" si="1"/>
        <v>2027.5216360403087</v>
      </c>
      <c r="G30" s="21">
        <f t="shared" ref="G30" si="5">$N$23/$N$24*E30</f>
        <v>2027.5216360403087</v>
      </c>
      <c r="H30" s="22">
        <f t="shared" si="0"/>
        <v>0</v>
      </c>
      <c r="I30" s="23"/>
      <c r="J30" s="23"/>
    </row>
    <row r="31" spans="2:14" ht="45">
      <c r="B31" s="27" t="s">
        <v>193</v>
      </c>
      <c r="C31" s="6" t="s">
        <v>205</v>
      </c>
      <c r="D31" s="19" t="s">
        <v>188</v>
      </c>
      <c r="E31" s="94">
        <v>4</v>
      </c>
      <c r="F31" s="20">
        <v>40550.43</v>
      </c>
      <c r="G31" s="4">
        <v>17992</v>
      </c>
      <c r="H31" s="22">
        <f>F31-G31</f>
        <v>22558.43</v>
      </c>
      <c r="I31" s="23"/>
      <c r="J31" s="23"/>
      <c r="L31" s="14"/>
    </row>
    <row r="32" spans="2:14" ht="16.5" thickBot="1">
      <c r="B32" s="48" t="s">
        <v>173</v>
      </c>
      <c r="C32" s="49" t="s">
        <v>191</v>
      </c>
      <c r="D32" s="50" t="s">
        <v>188</v>
      </c>
      <c r="E32" s="94">
        <v>0.61</v>
      </c>
      <c r="F32" s="20">
        <f t="shared" si="1"/>
        <v>6183.9409899229413</v>
      </c>
      <c r="G32" s="21">
        <f t="shared" ref="G32" si="6">$N$23/$N$24*E32</f>
        <v>6183.9409899229413</v>
      </c>
      <c r="H32" s="30">
        <f>F32-G32</f>
        <v>0</v>
      </c>
      <c r="I32" s="23"/>
      <c r="J32" s="23"/>
    </row>
    <row r="33" spans="2:14" ht="16.5" thickBot="1">
      <c r="B33" s="51" t="s">
        <v>177</v>
      </c>
      <c r="C33" s="52"/>
      <c r="D33" s="52"/>
      <c r="E33" s="96">
        <f>SUM(E24:E32)</f>
        <v>20.869999999999997</v>
      </c>
      <c r="F33" s="53">
        <f>SUM(F24:F32)</f>
        <v>211571.88000000003</v>
      </c>
      <c r="G33" s="54">
        <f>SUM(G24:G32)</f>
        <v>189013.45000000004</v>
      </c>
      <c r="H33" s="35">
        <f>SUM(H24:H32)</f>
        <v>22558.43</v>
      </c>
      <c r="I33" s="36"/>
      <c r="J33" s="36"/>
    </row>
    <row r="34" spans="2:14">
      <c r="B34" s="14"/>
      <c r="C34" s="14"/>
      <c r="D34" s="14"/>
      <c r="E34" s="82"/>
      <c r="F34" s="82"/>
      <c r="G34" s="82"/>
      <c r="H34" s="78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50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1734025.4396026349</v>
      </c>
      <c r="D37" s="239"/>
      <c r="E37" s="263">
        <f>F24+F25+F26+F27+F28+F29+F30+F32+E16</f>
        <v>1374466.819602635</v>
      </c>
      <c r="F37" s="264"/>
      <c r="G37" s="263">
        <f>F31+G16</f>
        <v>359558.62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1760875.89</v>
      </c>
      <c r="D38" s="236"/>
      <c r="E38" s="235">
        <f>E17+185329.42</f>
        <v>1402511.42</v>
      </c>
      <c r="F38" s="236"/>
      <c r="G38" s="235">
        <f>G17+43942.96</f>
        <v>358364.47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1777617.6164216371</v>
      </c>
      <c r="D39" s="270"/>
      <c r="E39" s="260">
        <f>G24+G25+G26+G27+G28+G29+G30+G32+E18</f>
        <v>1388656.6164216371</v>
      </c>
      <c r="F39" s="261"/>
      <c r="G39" s="260">
        <f>G31+G18</f>
        <v>388961</v>
      </c>
      <c r="H39" s="262"/>
      <c r="I39" s="222"/>
      <c r="J39" s="222" t="s">
        <v>277</v>
      </c>
      <c r="K39" s="41"/>
      <c r="L39" s="41"/>
    </row>
    <row r="40" spans="2:14" ht="30.75" customHeight="1" thickBot="1">
      <c r="B40" s="92" t="s">
        <v>275</v>
      </c>
      <c r="C40" s="249">
        <f>E40+G40</f>
        <v>-16741.726421637228</v>
      </c>
      <c r="D40" s="250"/>
      <c r="E40" s="251">
        <f>E38-E39</f>
        <v>13854.8035783628</v>
      </c>
      <c r="F40" s="252"/>
      <c r="G40" s="251">
        <f>G38-G39</f>
        <v>-30596.530000000028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</row>
    <row r="48" spans="2:14" ht="9" customHeight="1">
      <c r="B48" s="46"/>
      <c r="C48" s="46"/>
      <c r="D48" s="46"/>
      <c r="E48" s="220"/>
      <c r="F48" s="268"/>
      <c r="G48" s="268"/>
    </row>
    <row r="49" spans="3:5">
      <c r="C49" s="82"/>
      <c r="E49" s="47"/>
    </row>
  </sheetData>
  <mergeCells count="55">
    <mergeCell ref="C41:E41"/>
    <mergeCell ref="C43:E43"/>
    <mergeCell ref="C45:E45"/>
    <mergeCell ref="C47:E47"/>
    <mergeCell ref="F43:G43"/>
    <mergeCell ref="F44:G44"/>
    <mergeCell ref="F45:G45"/>
    <mergeCell ref="F47:G47"/>
    <mergeCell ref="F48:G48"/>
    <mergeCell ref="F41:G41"/>
    <mergeCell ref="F42:G42"/>
    <mergeCell ref="E40:F40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B14:H14"/>
    <mergeCell ref="E15:F15"/>
    <mergeCell ref="G15:H15"/>
    <mergeCell ref="D5:E5"/>
    <mergeCell ref="B35:H35"/>
    <mergeCell ref="E36:F36"/>
    <mergeCell ref="G36:H36"/>
    <mergeCell ref="C15:D15"/>
    <mergeCell ref="C16:D16"/>
    <mergeCell ref="C17:D17"/>
    <mergeCell ref="C18:D18"/>
    <mergeCell ref="C19:D19"/>
    <mergeCell ref="E19:F19"/>
    <mergeCell ref="G19:H19"/>
    <mergeCell ref="G16:H16"/>
    <mergeCell ref="E17:F17"/>
    <mergeCell ref="G17:H17"/>
    <mergeCell ref="E18:F18"/>
    <mergeCell ref="G18:H18"/>
    <mergeCell ref="E16:F16"/>
    <mergeCell ref="C39:D39"/>
    <mergeCell ref="C40:D40"/>
    <mergeCell ref="M21:M22"/>
    <mergeCell ref="G40:H40"/>
    <mergeCell ref="N21:N22"/>
    <mergeCell ref="C36:D36"/>
    <mergeCell ref="C37:D37"/>
    <mergeCell ref="C38:D38"/>
    <mergeCell ref="E39:F39"/>
    <mergeCell ref="G39:H39"/>
    <mergeCell ref="E38:F38"/>
    <mergeCell ref="G38:H38"/>
    <mergeCell ref="E37:F37"/>
    <mergeCell ref="G37:H37"/>
  </mergeCells>
  <pageMargins left="0.35" right="0.2" top="0.35" bottom="0.24" header="0.31496062992125984" footer="0.24"/>
  <pageSetup paperSize="9" scale="4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9"/>
  <sheetViews>
    <sheetView topLeftCell="B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5.140625" style="3" customWidth="1"/>
    <col min="3" max="3" width="22.85546875" style="78" customWidth="1"/>
    <col min="4" max="4" width="9" style="78" customWidth="1"/>
    <col min="5" max="5" width="10.7109375" style="78" customWidth="1"/>
    <col min="6" max="6" width="9.42578125" style="3" customWidth="1"/>
    <col min="7" max="7" width="10.28515625" style="3" customWidth="1"/>
    <col min="8" max="8" width="10.42578125" style="3" customWidth="1"/>
    <col min="9" max="9" width="10.7109375" style="3" bestFit="1" customWidth="1"/>
    <col min="10" max="12" width="9.140625" style="3"/>
    <col min="13" max="13" width="13.140625" style="185" customWidth="1"/>
    <col min="14" max="14" width="15.85546875" style="185" customWidth="1"/>
    <col min="15" max="16384" width="9.140625" style="3"/>
  </cols>
  <sheetData>
    <row r="1" spans="1:14">
      <c r="B1" s="272" t="s">
        <v>196</v>
      </c>
      <c r="C1" s="272"/>
      <c r="D1" s="272"/>
      <c r="E1" s="272"/>
      <c r="F1" s="272"/>
      <c r="G1" s="272"/>
      <c r="H1" s="272"/>
    </row>
    <row r="2" spans="1:14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14" ht="20.25" customHeight="1">
      <c r="A3" s="5"/>
      <c r="B3" s="231"/>
      <c r="C3" s="231"/>
      <c r="D3" s="231"/>
      <c r="E3" s="231"/>
      <c r="F3" s="231"/>
      <c r="G3" s="231"/>
      <c r="H3" s="231"/>
    </row>
    <row r="4" spans="1:14" ht="12" customHeight="1">
      <c r="A4" s="5"/>
      <c r="B4" s="5"/>
      <c r="C4" s="5"/>
      <c r="D4" s="5"/>
      <c r="E4" s="5"/>
      <c r="F4" s="5"/>
      <c r="G4" s="5"/>
    </row>
    <row r="5" spans="1:14" s="8" customFormat="1" ht="12.75">
      <c r="B5" s="8" t="s">
        <v>0</v>
      </c>
      <c r="C5" s="45"/>
      <c r="D5" s="233" t="s">
        <v>299</v>
      </c>
      <c r="E5" s="233"/>
      <c r="M5" s="193"/>
      <c r="N5" s="193"/>
    </row>
    <row r="6" spans="1:14" s="8" customFormat="1" ht="12.75">
      <c r="B6" s="8" t="s">
        <v>1</v>
      </c>
      <c r="C6" s="45"/>
      <c r="D6" s="217"/>
      <c r="E6" s="217"/>
      <c r="M6" s="193"/>
      <c r="N6" s="193"/>
    </row>
    <row r="7" spans="1:14" s="8" customFormat="1" ht="12.75" hidden="1" outlineLevel="1">
      <c r="B7" s="8" t="s">
        <v>2</v>
      </c>
      <c r="C7" s="45"/>
      <c r="D7" s="217">
        <v>3</v>
      </c>
      <c r="E7" s="217"/>
      <c r="M7" s="193"/>
      <c r="N7" s="193"/>
    </row>
    <row r="8" spans="1:14" s="8" customFormat="1" ht="12.75" hidden="1" outlineLevel="1">
      <c r="B8" s="8" t="s">
        <v>3</v>
      </c>
      <c r="C8" s="45"/>
      <c r="D8" s="217">
        <v>18</v>
      </c>
      <c r="E8" s="217"/>
      <c r="M8" s="193"/>
      <c r="N8" s="193"/>
    </row>
    <row r="9" spans="1:14" s="8" customFormat="1" ht="30.75" hidden="1" customHeight="1" outlineLevel="1">
      <c r="B9" s="111" t="s">
        <v>4</v>
      </c>
      <c r="C9" s="122"/>
      <c r="D9" s="217">
        <v>1355.2</v>
      </c>
      <c r="E9" s="217"/>
      <c r="M9" s="193"/>
      <c r="N9" s="193"/>
    </row>
    <row r="10" spans="1:14" s="8" customFormat="1" ht="12.75" collapsed="1">
      <c r="B10" s="8" t="s">
        <v>5</v>
      </c>
      <c r="C10" s="45"/>
      <c r="D10" s="217">
        <v>913.6</v>
      </c>
      <c r="E10" s="217"/>
      <c r="I10" s="200"/>
      <c r="M10" s="193"/>
      <c r="N10" s="193"/>
    </row>
    <row r="11" spans="1:14" hidden="1" outlineLevel="1">
      <c r="B11" s="3" t="s">
        <v>6</v>
      </c>
      <c r="D11" s="216">
        <v>0</v>
      </c>
      <c r="E11" s="216"/>
    </row>
    <row r="12" spans="1:14" ht="30.75" hidden="1" customHeight="1" outlineLevel="1">
      <c r="B12" s="11" t="s">
        <v>7</v>
      </c>
      <c r="C12" s="76"/>
      <c r="D12" s="87"/>
      <c r="E12" s="216"/>
      <c r="I12" s="14"/>
    </row>
    <row r="13" spans="1:14" collapsed="1">
      <c r="B13" s="11"/>
      <c r="C13" s="76"/>
      <c r="D13" s="87"/>
      <c r="E13" s="216"/>
      <c r="I13" s="14"/>
    </row>
    <row r="14" spans="1:14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14" ht="45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14">
      <c r="B16" s="88" t="s">
        <v>14</v>
      </c>
      <c r="C16" s="238">
        <v>322678.64</v>
      </c>
      <c r="D16" s="239"/>
      <c r="E16" s="263">
        <v>260104.4</v>
      </c>
      <c r="F16" s="264"/>
      <c r="G16" s="263">
        <v>62574.239999999998</v>
      </c>
      <c r="H16" s="265"/>
      <c r="I16" s="14"/>
    </row>
    <row r="17" spans="2:14">
      <c r="B17" s="89" t="s">
        <v>15</v>
      </c>
      <c r="C17" s="235">
        <v>256848.78000000003</v>
      </c>
      <c r="D17" s="236"/>
      <c r="E17" s="235">
        <v>207141.52000000002</v>
      </c>
      <c r="F17" s="236"/>
      <c r="G17" s="235">
        <v>49707.26</v>
      </c>
      <c r="H17" s="237"/>
      <c r="I17" s="14"/>
    </row>
    <row r="18" spans="2:14" ht="16.5" thickBot="1">
      <c r="B18" s="90" t="s">
        <v>176</v>
      </c>
      <c r="C18" s="235">
        <v>286324.40000000002</v>
      </c>
      <c r="D18" s="236"/>
      <c r="E18" s="260">
        <v>260104.4</v>
      </c>
      <c r="F18" s="261"/>
      <c r="G18" s="260">
        <v>26220</v>
      </c>
      <c r="H18" s="262"/>
      <c r="I18" s="14"/>
    </row>
    <row r="19" spans="2:14" ht="36.75" thickBot="1">
      <c r="B19" s="92" t="s">
        <v>274</v>
      </c>
      <c r="C19" s="249">
        <f>C17-C18</f>
        <v>-29475.619999999995</v>
      </c>
      <c r="D19" s="250"/>
      <c r="E19" s="251">
        <f>E17-E18</f>
        <v>-52962.879999999976</v>
      </c>
      <c r="F19" s="252"/>
      <c r="G19" s="251">
        <f>G17-G18</f>
        <v>23487.260000000002</v>
      </c>
      <c r="H19" s="253"/>
      <c r="I19" s="14"/>
    </row>
    <row r="20" spans="2:14">
      <c r="B20" s="79"/>
      <c r="C20" s="79"/>
      <c r="D20" s="80"/>
      <c r="E20" s="81"/>
      <c r="F20" s="81"/>
      <c r="G20" s="81"/>
      <c r="H20" s="81"/>
      <c r="I20" s="14"/>
    </row>
    <row r="21" spans="2:14" ht="21.7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27.7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54.7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206185.22</v>
      </c>
      <c r="N23" s="204">
        <f>M23</f>
        <v>206185.22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35667.852928679815</v>
      </c>
      <c r="G24" s="21">
        <f>$N$23/$N$24*E24</f>
        <v>35667.852928679815</v>
      </c>
      <c r="H24" s="22">
        <f>F24-G24</f>
        <v>0</v>
      </c>
      <c r="I24" s="23"/>
      <c r="J24" s="23"/>
      <c r="K24" s="24"/>
      <c r="L24" s="25"/>
      <c r="M24" s="205">
        <f>E33-E31</f>
        <v>19.77</v>
      </c>
      <c r="N24" s="205">
        <f>E33-E31</f>
        <v>19.77</v>
      </c>
    </row>
    <row r="25" spans="2:14" ht="51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39630.947698533128</v>
      </c>
      <c r="G25" s="21">
        <f>$N$23/$N$24*E25</f>
        <v>39630.947698533128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2.5" customHeight="1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3650.2188669701568</v>
      </c>
      <c r="G26" s="21">
        <f t="shared" ref="G26:G30" si="2">$N$23/$N$24*E26</f>
        <v>3650.2188669701568</v>
      </c>
      <c r="H26" s="22">
        <f t="shared" si="0"/>
        <v>0</v>
      </c>
      <c r="I26" s="23"/>
      <c r="J26" s="23"/>
      <c r="L26" s="14"/>
    </row>
    <row r="27" spans="2:14" ht="25.5">
      <c r="B27" s="27" t="s">
        <v>172</v>
      </c>
      <c r="C27" s="28" t="s">
        <v>190</v>
      </c>
      <c r="D27" s="19" t="s">
        <v>188</v>
      </c>
      <c r="E27" s="94">
        <v>0</v>
      </c>
      <c r="F27" s="20">
        <f t="shared" si="1"/>
        <v>0</v>
      </c>
      <c r="G27" s="21">
        <f t="shared" si="2"/>
        <v>0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1.98</v>
      </c>
      <c r="F28" s="20">
        <f t="shared" si="1"/>
        <v>20649.809590288314</v>
      </c>
      <c r="G28" s="21">
        <f t="shared" si="2"/>
        <v>20649.809590288314</v>
      </c>
      <c r="H28" s="22">
        <f t="shared" si="0"/>
        <v>0</v>
      </c>
      <c r="I28" s="23"/>
      <c r="J28" s="23"/>
    </row>
    <row r="29" spans="2:14" ht="228.75" customHeight="1">
      <c r="B29" s="26" t="s">
        <v>204</v>
      </c>
      <c r="C29" s="29" t="s">
        <v>191</v>
      </c>
      <c r="D29" s="19" t="s">
        <v>188</v>
      </c>
      <c r="E29" s="94">
        <v>8.31</v>
      </c>
      <c r="F29" s="20">
        <f t="shared" si="1"/>
        <v>86666.625098634308</v>
      </c>
      <c r="G29" s="21">
        <f t="shared" si="2"/>
        <v>86666.625098634308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08.75" customHeight="1">
      <c r="B30" s="26" t="s">
        <v>192</v>
      </c>
      <c r="C30" s="6" t="s">
        <v>205</v>
      </c>
      <c r="D30" s="19" t="s">
        <v>188</v>
      </c>
      <c r="E30" s="94">
        <v>0.42</v>
      </c>
      <c r="F30" s="20">
        <f t="shared" si="1"/>
        <v>4380.262640364188</v>
      </c>
      <c r="G30" s="21">
        <f t="shared" si="2"/>
        <v>4380.262640364188</v>
      </c>
      <c r="H30" s="22">
        <f t="shared" si="0"/>
        <v>0</v>
      </c>
      <c r="I30" s="23"/>
      <c r="J30" s="23"/>
    </row>
    <row r="31" spans="2:14" ht="45">
      <c r="B31" s="27" t="s">
        <v>193</v>
      </c>
      <c r="C31" s="6" t="s">
        <v>205</v>
      </c>
      <c r="D31" s="19" t="s">
        <v>188</v>
      </c>
      <c r="E31" s="94">
        <v>5</v>
      </c>
      <c r="F31" s="20">
        <v>52145.98</v>
      </c>
      <c r="G31" s="4">
        <v>27072</v>
      </c>
      <c r="H31" s="22">
        <f>F31-G31</f>
        <v>25073.980000000003</v>
      </c>
      <c r="I31" s="23"/>
      <c r="J31" s="23"/>
      <c r="L31" s="14"/>
    </row>
    <row r="32" spans="2:14" ht="16.5" thickBot="1">
      <c r="B32" s="27" t="s">
        <v>173</v>
      </c>
      <c r="C32" s="49" t="s">
        <v>191</v>
      </c>
      <c r="D32" s="19" t="s">
        <v>188</v>
      </c>
      <c r="E32" s="94">
        <v>1.49</v>
      </c>
      <c r="F32" s="20">
        <f t="shared" si="1"/>
        <v>15539.503176530096</v>
      </c>
      <c r="G32" s="21">
        <f t="shared" ref="G32" si="3">$N$23/$N$24*E32</f>
        <v>15539.503176530096</v>
      </c>
      <c r="H32" s="30">
        <f>F32-G32</f>
        <v>0</v>
      </c>
      <c r="I32" s="23"/>
      <c r="J32" s="23"/>
    </row>
    <row r="33" spans="2:14" ht="16.5" thickBot="1">
      <c r="B33" s="31" t="s">
        <v>177</v>
      </c>
      <c r="C33" s="32"/>
      <c r="D33" s="32"/>
      <c r="E33" s="102">
        <f>SUM(E24:E32)</f>
        <v>24.77</v>
      </c>
      <c r="F33" s="33">
        <f>SUM(F24:F32)</f>
        <v>258331.2</v>
      </c>
      <c r="G33" s="34">
        <f>SUM(G24:G32)</f>
        <v>233257.22</v>
      </c>
      <c r="H33" s="35">
        <f>SUM(H24:H32)</f>
        <v>25073.980000000003</v>
      </c>
      <c r="I33" s="36"/>
      <c r="J33" s="36"/>
    </row>
    <row r="34" spans="2:14">
      <c r="B34" s="14"/>
      <c r="C34" s="14"/>
      <c r="D34" s="14"/>
      <c r="E34" s="82"/>
      <c r="F34" s="82"/>
      <c r="G34" s="82"/>
      <c r="H34" s="78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581009.84</v>
      </c>
      <c r="D37" s="239"/>
      <c r="E37" s="263">
        <f>F24+F25+F26+F27+F28+F29+F30+F32+E16</f>
        <v>466289.62</v>
      </c>
      <c r="F37" s="264"/>
      <c r="G37" s="263">
        <f>F31+G16</f>
        <v>114720.22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551370.01</v>
      </c>
      <c r="D38" s="236"/>
      <c r="E38" s="235">
        <f>E17+235070.03</f>
        <v>442211.55000000005</v>
      </c>
      <c r="F38" s="236"/>
      <c r="G38" s="235">
        <f>G17+59451.2</f>
        <v>109158.45999999999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519581.62</v>
      </c>
      <c r="D39" s="270"/>
      <c r="E39" s="260">
        <f>G24+G25+G26+G27+G28+G29+G30+G32+E18</f>
        <v>466289.62</v>
      </c>
      <c r="F39" s="261"/>
      <c r="G39" s="260">
        <f>G31+G18</f>
        <v>53292</v>
      </c>
      <c r="H39" s="262"/>
      <c r="I39" s="222"/>
      <c r="J39" s="222"/>
      <c r="K39" s="41"/>
      <c r="L39" s="41"/>
    </row>
    <row r="40" spans="2:14" ht="36.75" thickBot="1">
      <c r="B40" s="92" t="s">
        <v>275</v>
      </c>
      <c r="C40" s="249">
        <f>E40+G40</f>
        <v>31788.390000000043</v>
      </c>
      <c r="D40" s="250"/>
      <c r="E40" s="251">
        <f>E38-E39</f>
        <v>-24078.069999999949</v>
      </c>
      <c r="F40" s="252"/>
      <c r="G40" s="251">
        <f>G38-G39</f>
        <v>55866.459999999992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</row>
    <row r="48" spans="2:14" ht="9" customHeight="1">
      <c r="B48" s="46"/>
      <c r="C48" s="46"/>
      <c r="D48" s="46"/>
      <c r="E48" s="220"/>
      <c r="F48" s="268"/>
      <c r="G48" s="268"/>
    </row>
    <row r="49" spans="3:5">
      <c r="C49" s="82"/>
      <c r="E49" s="47"/>
    </row>
  </sheetData>
  <mergeCells count="55">
    <mergeCell ref="F48:G48"/>
    <mergeCell ref="C43:E43"/>
    <mergeCell ref="F43:G43"/>
    <mergeCell ref="F44:G44"/>
    <mergeCell ref="C45:E45"/>
    <mergeCell ref="F45:G45"/>
    <mergeCell ref="C47:E47"/>
    <mergeCell ref="F47:G47"/>
    <mergeCell ref="F42:G42"/>
    <mergeCell ref="C38:D38"/>
    <mergeCell ref="E38:F38"/>
    <mergeCell ref="G38:H38"/>
    <mergeCell ref="C39:D39"/>
    <mergeCell ref="E39:F39"/>
    <mergeCell ref="G39:H39"/>
    <mergeCell ref="C40:D40"/>
    <mergeCell ref="E40:F40"/>
    <mergeCell ref="G40:H40"/>
    <mergeCell ref="C41:E41"/>
    <mergeCell ref="F41:G41"/>
    <mergeCell ref="B35:H35"/>
    <mergeCell ref="C36:D36"/>
    <mergeCell ref="E36:F36"/>
    <mergeCell ref="G36:H36"/>
    <mergeCell ref="C37:D37"/>
    <mergeCell ref="E37:F37"/>
    <mergeCell ref="G37:H37"/>
    <mergeCell ref="B21:H21"/>
    <mergeCell ref="M21:M22"/>
    <mergeCell ref="N21:N22"/>
    <mergeCell ref="B22:B23"/>
    <mergeCell ref="C22:C23"/>
    <mergeCell ref="D22:D23"/>
    <mergeCell ref="E22:E23"/>
    <mergeCell ref="F22:G22"/>
    <mergeCell ref="H22:H23"/>
    <mergeCell ref="C18:D18"/>
    <mergeCell ref="E18:F18"/>
    <mergeCell ref="G18:H18"/>
    <mergeCell ref="C19:D19"/>
    <mergeCell ref="E19:F19"/>
    <mergeCell ref="G19:H19"/>
    <mergeCell ref="C16:D16"/>
    <mergeCell ref="E16:F16"/>
    <mergeCell ref="G16:H16"/>
    <mergeCell ref="C17:D17"/>
    <mergeCell ref="E17:F17"/>
    <mergeCell ref="G17:H17"/>
    <mergeCell ref="B1:H1"/>
    <mergeCell ref="B2:H3"/>
    <mergeCell ref="D5:E5"/>
    <mergeCell ref="B14:H14"/>
    <mergeCell ref="C15:D15"/>
    <mergeCell ref="E15:F15"/>
    <mergeCell ref="G15:H15"/>
  </mergeCells>
  <pageMargins left="0.70866141732283472" right="0.70866141732283472" top="0.33" bottom="0.26" header="0.31496062992125984" footer="0.31496062992125984"/>
  <pageSetup paperSize="9" scale="44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49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5.140625" style="3" customWidth="1"/>
    <col min="3" max="3" width="22.85546875" style="78" customWidth="1"/>
    <col min="4" max="4" width="9" style="78" customWidth="1"/>
    <col min="5" max="5" width="10.7109375" style="78" customWidth="1"/>
    <col min="6" max="6" width="9.42578125" style="3" customWidth="1"/>
    <col min="7" max="7" width="10.28515625" style="3" customWidth="1"/>
    <col min="8" max="8" width="10.42578125" style="3" customWidth="1"/>
    <col min="9" max="9" width="10.7109375" style="3" bestFit="1" customWidth="1"/>
    <col min="10" max="12" width="9.140625" style="3"/>
    <col min="13" max="13" width="13.140625" style="185" customWidth="1"/>
    <col min="14" max="14" width="15.855468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0.25" customHeight="1">
      <c r="A3" s="5"/>
      <c r="B3" s="231"/>
      <c r="C3" s="231"/>
      <c r="D3" s="231"/>
      <c r="E3" s="231"/>
      <c r="F3" s="231"/>
      <c r="G3" s="231"/>
      <c r="H3" s="231"/>
    </row>
    <row r="4" spans="1:9" ht="12" customHeight="1">
      <c r="A4" s="5"/>
      <c r="B4" s="5"/>
      <c r="C4" s="5"/>
      <c r="D4" s="5"/>
      <c r="E4" s="5"/>
      <c r="F4" s="5"/>
      <c r="G4" s="5"/>
    </row>
    <row r="5" spans="1:9">
      <c r="B5" s="3" t="s">
        <v>0</v>
      </c>
      <c r="D5" s="232" t="s">
        <v>157</v>
      </c>
      <c r="E5" s="232"/>
    </row>
    <row r="6" spans="1:9">
      <c r="B6" s="3" t="s">
        <v>1</v>
      </c>
      <c r="D6" s="216">
        <v>1961</v>
      </c>
      <c r="E6" s="216"/>
    </row>
    <row r="7" spans="1:9" hidden="1" outlineLevel="1">
      <c r="B7" s="3" t="s">
        <v>2</v>
      </c>
      <c r="D7" s="216">
        <v>2</v>
      </c>
      <c r="E7" s="216"/>
    </row>
    <row r="8" spans="1:9" hidden="1" outlineLevel="1">
      <c r="B8" s="3" t="s">
        <v>3</v>
      </c>
      <c r="D8" s="216">
        <v>8</v>
      </c>
      <c r="E8" s="216"/>
    </row>
    <row r="9" spans="1:9" ht="30.75" hidden="1" customHeight="1" outlineLevel="1">
      <c r="B9" s="11" t="s">
        <v>4</v>
      </c>
      <c r="C9" s="76"/>
      <c r="D9" s="216" t="s">
        <v>158</v>
      </c>
      <c r="E9" s="216"/>
    </row>
    <row r="10" spans="1:9" collapsed="1">
      <c r="B10" s="3" t="s">
        <v>5</v>
      </c>
      <c r="D10" s="216" t="s">
        <v>262</v>
      </c>
      <c r="E10" s="216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159</v>
      </c>
      <c r="E12" s="216"/>
      <c r="I12" s="14"/>
    </row>
    <row r="13" spans="1:9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5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656279.2699999999</v>
      </c>
      <c r="D16" s="273"/>
      <c r="E16" s="263">
        <v>517506.90999999992</v>
      </c>
      <c r="F16" s="264"/>
      <c r="G16" s="263">
        <v>138772.36000000002</v>
      </c>
      <c r="H16" s="265"/>
      <c r="I16" s="14"/>
    </row>
    <row r="17" spans="2:14">
      <c r="B17" s="89" t="s">
        <v>15</v>
      </c>
      <c r="C17" s="235">
        <v>541888.58000000007</v>
      </c>
      <c r="D17" s="298"/>
      <c r="E17" s="235">
        <v>425353.45000000007</v>
      </c>
      <c r="F17" s="236"/>
      <c r="G17" s="235">
        <v>116535.12999999999</v>
      </c>
      <c r="H17" s="237"/>
      <c r="I17" s="14"/>
    </row>
    <row r="18" spans="2:14" ht="16.5" thickBot="1">
      <c r="B18" s="90" t="s">
        <v>176</v>
      </c>
      <c r="C18" s="269">
        <v>569277.56819999986</v>
      </c>
      <c r="D18" s="327"/>
      <c r="E18" s="260">
        <v>522574.56819999992</v>
      </c>
      <c r="F18" s="261"/>
      <c r="G18" s="260">
        <v>46703</v>
      </c>
      <c r="H18" s="262"/>
      <c r="I18" s="14"/>
    </row>
    <row r="19" spans="2:14" ht="36.75" thickBot="1">
      <c r="B19" s="92" t="s">
        <v>274</v>
      </c>
      <c r="C19" s="249">
        <f>E19+G19</f>
        <v>-27388.988199999862</v>
      </c>
      <c r="D19" s="250"/>
      <c r="E19" s="251">
        <f>E17-E18</f>
        <v>-97221.118199999852</v>
      </c>
      <c r="F19" s="252"/>
      <c r="G19" s="251">
        <f>G17-G18</f>
        <v>69832.12999999999</v>
      </c>
      <c r="H19" s="253"/>
      <c r="I19" s="14"/>
    </row>
    <row r="20" spans="2:14">
      <c r="B20" s="79"/>
      <c r="C20" s="79"/>
      <c r="D20" s="80"/>
      <c r="E20" s="81"/>
      <c r="F20" s="81"/>
      <c r="G20" s="81"/>
      <c r="H20" s="81"/>
      <c r="I20" s="14"/>
    </row>
    <row r="21" spans="2:14" ht="21.7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27.7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54.7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75822.14</v>
      </c>
      <c r="N23" s="204">
        <f>M23</f>
        <v>75822.14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0</v>
      </c>
      <c r="F24" s="20">
        <f>$M$23/$M$24*E24</f>
        <v>0</v>
      </c>
      <c r="G24" s="21">
        <f>$N$23/$N$24*E24</f>
        <v>0</v>
      </c>
      <c r="H24" s="22">
        <f>F24-G24</f>
        <v>0</v>
      </c>
      <c r="I24" s="23"/>
      <c r="J24" s="23"/>
      <c r="K24" s="24"/>
      <c r="L24" s="25"/>
      <c r="M24" s="205">
        <f>E33-E31</f>
        <v>17.329999999999998</v>
      </c>
      <c r="N24" s="205">
        <f>E33-E31</f>
        <v>17.329999999999998</v>
      </c>
    </row>
    <row r="25" spans="2:14" ht="51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16625.743335256782</v>
      </c>
      <c r="G25" s="21">
        <f>$N$23/$N$24*E25</f>
        <v>16625.743335256782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2.5" customHeight="1">
      <c r="B26" s="27" t="s">
        <v>171</v>
      </c>
      <c r="C26" s="6" t="s">
        <v>205</v>
      </c>
      <c r="D26" s="19" t="s">
        <v>188</v>
      </c>
      <c r="E26" s="94">
        <v>0.6</v>
      </c>
      <c r="F26" s="20">
        <f t="shared" ref="F26:F32" si="1">$M$23/$M$24*E26</f>
        <v>2625.1173687247551</v>
      </c>
      <c r="G26" s="21">
        <f t="shared" ref="G26:G29" si="2">$N$23/$N$24*E26</f>
        <v>2625.1173687247551</v>
      </c>
      <c r="H26" s="22">
        <f t="shared" si="0"/>
        <v>0</v>
      </c>
      <c r="I26" s="23"/>
      <c r="J26" s="23"/>
      <c r="L26" s="14"/>
    </row>
    <row r="27" spans="2:14" ht="25.5">
      <c r="B27" s="27" t="s">
        <v>172</v>
      </c>
      <c r="C27" s="28" t="s">
        <v>190</v>
      </c>
      <c r="D27" s="19" t="s">
        <v>188</v>
      </c>
      <c r="E27" s="94">
        <v>0</v>
      </c>
      <c r="F27" s="20">
        <f t="shared" si="1"/>
        <v>0</v>
      </c>
      <c r="G27" s="21">
        <f t="shared" si="2"/>
        <v>0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1.98</v>
      </c>
      <c r="F28" s="20">
        <f t="shared" si="1"/>
        <v>8662.8873167916918</v>
      </c>
      <c r="G28" s="21">
        <f t="shared" si="2"/>
        <v>8662.8873167916918</v>
      </c>
      <c r="H28" s="22">
        <f t="shared" si="0"/>
        <v>0</v>
      </c>
      <c r="I28" s="23"/>
      <c r="J28" s="23"/>
    </row>
    <row r="29" spans="2:14" ht="228.75" customHeight="1">
      <c r="B29" s="26" t="s">
        <v>204</v>
      </c>
      <c r="C29" s="29" t="s">
        <v>191</v>
      </c>
      <c r="D29" s="19" t="s">
        <v>188</v>
      </c>
      <c r="E29" s="94">
        <v>8.75</v>
      </c>
      <c r="F29" s="20">
        <f t="shared" si="1"/>
        <v>38282.961627236014</v>
      </c>
      <c r="G29" s="21">
        <f t="shared" si="2"/>
        <v>38282.961627236014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08.75" customHeight="1">
      <c r="B30" s="26" t="s">
        <v>192</v>
      </c>
      <c r="C30" s="6" t="s">
        <v>205</v>
      </c>
      <c r="D30" s="19" t="s">
        <v>188</v>
      </c>
      <c r="E30" s="94">
        <v>0.7</v>
      </c>
      <c r="F30" s="20">
        <f t="shared" si="1"/>
        <v>3062.6369301788809</v>
      </c>
      <c r="G30" s="21">
        <f t="shared" ref="G30" si="3">$N$23/$N$24*E30</f>
        <v>3062.6369301788809</v>
      </c>
      <c r="H30" s="22">
        <f t="shared" si="0"/>
        <v>0</v>
      </c>
      <c r="I30" s="23"/>
      <c r="J30" s="23"/>
    </row>
    <row r="31" spans="2:14" ht="45">
      <c r="B31" s="27" t="s">
        <v>193</v>
      </c>
      <c r="C31" s="6" t="s">
        <v>205</v>
      </c>
      <c r="D31" s="19" t="s">
        <v>188</v>
      </c>
      <c r="E31" s="94">
        <v>4</v>
      </c>
      <c r="F31" s="20">
        <v>17500.78</v>
      </c>
      <c r="G31" s="4">
        <v>0</v>
      </c>
      <c r="H31" s="22">
        <f>F31-G31</f>
        <v>17500.78</v>
      </c>
      <c r="I31" s="23"/>
      <c r="J31" s="23"/>
      <c r="L31" s="14"/>
    </row>
    <row r="32" spans="2:14" ht="16.5" thickBot="1">
      <c r="B32" s="27" t="s">
        <v>173</v>
      </c>
      <c r="C32" s="49" t="s">
        <v>191</v>
      </c>
      <c r="D32" s="19" t="s">
        <v>188</v>
      </c>
      <c r="E32" s="94">
        <v>1.5</v>
      </c>
      <c r="F32" s="20">
        <f t="shared" si="1"/>
        <v>6562.793421811888</v>
      </c>
      <c r="G32" s="21">
        <f t="shared" ref="G32" si="4">$N$23/$N$24*E32</f>
        <v>6562.793421811888</v>
      </c>
      <c r="H32" s="30">
        <f>F32-G32</f>
        <v>0</v>
      </c>
      <c r="I32" s="23"/>
      <c r="J32" s="23"/>
    </row>
    <row r="33" spans="2:14" ht="16.5" thickBot="1">
      <c r="B33" s="31" t="s">
        <v>177</v>
      </c>
      <c r="C33" s="32"/>
      <c r="D33" s="32"/>
      <c r="E33" s="102">
        <f>SUM(E24:E32)</f>
        <v>21.33</v>
      </c>
      <c r="F33" s="33">
        <f>SUM(F24:F32)</f>
        <v>93322.920000000013</v>
      </c>
      <c r="G33" s="34">
        <f>SUM(G24:G32)</f>
        <v>75822.140000000014</v>
      </c>
      <c r="H33" s="35">
        <f>SUM(H24:H32)</f>
        <v>17500.78</v>
      </c>
      <c r="I33" s="36"/>
      <c r="J33" s="36"/>
    </row>
    <row r="34" spans="2:14">
      <c r="B34" s="14"/>
      <c r="C34" s="14"/>
      <c r="D34" s="14"/>
      <c r="E34" s="82"/>
      <c r="F34" s="82"/>
      <c r="G34" s="82"/>
      <c r="H34" s="78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749602.19</v>
      </c>
      <c r="D37" s="239"/>
      <c r="E37" s="263">
        <f>F24+F25+F26+F27+F28+F29+F30+F32+E16</f>
        <v>593329.04999999993</v>
      </c>
      <c r="F37" s="264"/>
      <c r="G37" s="263">
        <f>F31+G16</f>
        <v>156273.14000000001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613092.3600000001</v>
      </c>
      <c r="D38" s="236"/>
      <c r="E38" s="235">
        <f>E17+57850.98</f>
        <v>483204.43000000005</v>
      </c>
      <c r="F38" s="236"/>
      <c r="G38" s="235">
        <f>G17+13352.8</f>
        <v>129887.93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645099.70819999999</v>
      </c>
      <c r="D39" s="270"/>
      <c r="E39" s="260">
        <f>G24+G25+G26+G27+G28+G29+G30+G32+E18</f>
        <v>598396.70819999999</v>
      </c>
      <c r="F39" s="261"/>
      <c r="G39" s="260">
        <f>G31+G18</f>
        <v>46703</v>
      </c>
      <c r="H39" s="262"/>
      <c r="I39" s="222"/>
      <c r="J39" s="222"/>
      <c r="K39" s="41"/>
      <c r="L39" s="41"/>
    </row>
    <row r="40" spans="2:14" ht="36.75" thickBot="1">
      <c r="B40" s="92" t="s">
        <v>275</v>
      </c>
      <c r="C40" s="249">
        <f>E40+G40</f>
        <v>-32007.348199999949</v>
      </c>
      <c r="D40" s="250"/>
      <c r="E40" s="251">
        <f>E38-E39</f>
        <v>-115192.27819999994</v>
      </c>
      <c r="F40" s="252"/>
      <c r="G40" s="251">
        <f>G38-G39</f>
        <v>83184.929999999993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</row>
    <row r="48" spans="2:14" ht="9" customHeight="1">
      <c r="B48" s="46"/>
      <c r="C48" s="46"/>
      <c r="D48" s="46"/>
      <c r="E48" s="220"/>
      <c r="F48" s="268"/>
      <c r="G48" s="268"/>
    </row>
    <row r="49" spans="3:5">
      <c r="C49" s="82"/>
      <c r="E49" s="47"/>
    </row>
  </sheetData>
  <mergeCells count="55">
    <mergeCell ref="C41:E41"/>
    <mergeCell ref="C43:E43"/>
    <mergeCell ref="C45:E45"/>
    <mergeCell ref="C47:E47"/>
    <mergeCell ref="F41:G41"/>
    <mergeCell ref="F42:G42"/>
    <mergeCell ref="F48:G48"/>
    <mergeCell ref="F45:G45"/>
    <mergeCell ref="F47:G47"/>
    <mergeCell ref="F43:G43"/>
    <mergeCell ref="F44:G44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8:F18"/>
    <mergeCell ref="G18:H18"/>
    <mergeCell ref="E19:F19"/>
    <mergeCell ref="G39:H39"/>
    <mergeCell ref="G40:H40"/>
    <mergeCell ref="E39:F39"/>
    <mergeCell ref="E40:F40"/>
    <mergeCell ref="C39:D39"/>
    <mergeCell ref="C40:D40"/>
    <mergeCell ref="G19:H19"/>
    <mergeCell ref="E16:F16"/>
    <mergeCell ref="G16:H16"/>
    <mergeCell ref="E17:F17"/>
    <mergeCell ref="G17:H17"/>
    <mergeCell ref="C15:D15"/>
    <mergeCell ref="C16:D16"/>
    <mergeCell ref="C17:D17"/>
    <mergeCell ref="C18:D18"/>
    <mergeCell ref="C19:D19"/>
    <mergeCell ref="M21:M22"/>
    <mergeCell ref="N21:N22"/>
    <mergeCell ref="C36:D36"/>
    <mergeCell ref="C37:D37"/>
    <mergeCell ref="C38:D38"/>
    <mergeCell ref="B35:H35"/>
    <mergeCell ref="E36:F36"/>
    <mergeCell ref="G36:H36"/>
    <mergeCell ref="E37:F37"/>
    <mergeCell ref="G37:H37"/>
    <mergeCell ref="E38:F38"/>
    <mergeCell ref="G38:H38"/>
  </mergeCells>
  <pageMargins left="0.32" right="0.42" top="0.16" bottom="0.24" header="0.31496062992125984" footer="0.24"/>
  <pageSetup paperSize="9" scale="4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49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7" style="3" customWidth="1"/>
    <col min="3" max="3" width="21" style="78" customWidth="1"/>
    <col min="4" max="4" width="9.140625" style="78" customWidth="1"/>
    <col min="5" max="5" width="10.28515625" style="78" customWidth="1"/>
    <col min="6" max="6" width="9.5703125" style="3" customWidth="1"/>
    <col min="7" max="7" width="10.28515625" style="3" customWidth="1"/>
    <col min="8" max="8" width="11" style="3" customWidth="1"/>
    <col min="9" max="9" width="10.7109375" style="3" bestFit="1" customWidth="1"/>
    <col min="10" max="12" width="9.140625" style="3"/>
    <col min="13" max="13" width="14.28515625" style="185" customWidth="1"/>
    <col min="14" max="14" width="13.71093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.75" customHeight="1">
      <c r="A3" s="5"/>
      <c r="B3" s="231"/>
      <c r="C3" s="231"/>
      <c r="D3" s="231"/>
      <c r="E3" s="231"/>
      <c r="F3" s="231"/>
      <c r="G3" s="231"/>
      <c r="H3" s="231"/>
    </row>
    <row r="4" spans="1:9" ht="13.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160</v>
      </c>
      <c r="E5" s="233"/>
      <c r="F5" s="8"/>
    </row>
    <row r="6" spans="1:9">
      <c r="B6" s="8" t="s">
        <v>1</v>
      </c>
      <c r="C6" s="45"/>
      <c r="D6" s="217">
        <v>1960</v>
      </c>
      <c r="E6" s="217"/>
      <c r="F6" s="8"/>
    </row>
    <row r="7" spans="1:9" hidden="1" outlineLevel="1">
      <c r="B7" s="8" t="s">
        <v>2</v>
      </c>
      <c r="C7" s="45"/>
      <c r="D7" s="217">
        <v>2</v>
      </c>
      <c r="E7" s="217"/>
      <c r="F7" s="8"/>
    </row>
    <row r="8" spans="1:9" hidden="1" outlineLevel="1">
      <c r="B8" s="8" t="s">
        <v>3</v>
      </c>
      <c r="C8" s="45"/>
      <c r="D8" s="217">
        <v>8</v>
      </c>
      <c r="E8" s="217"/>
      <c r="F8" s="8"/>
    </row>
    <row r="9" spans="1:9" ht="30.75" hidden="1" customHeight="1" outlineLevel="1">
      <c r="B9" s="111" t="s">
        <v>4</v>
      </c>
      <c r="C9" s="122"/>
      <c r="D9" s="217" t="s">
        <v>200</v>
      </c>
      <c r="E9" s="217"/>
      <c r="F9" s="8"/>
    </row>
    <row r="10" spans="1:9" collapsed="1">
      <c r="B10" s="8" t="s">
        <v>5</v>
      </c>
      <c r="C10" s="45"/>
      <c r="D10" s="217" t="s">
        <v>263</v>
      </c>
      <c r="E10" s="217"/>
      <c r="F10" s="8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161</v>
      </c>
      <c r="E12" s="216"/>
      <c r="I12" s="14"/>
    </row>
    <row r="13" spans="1:9" ht="9.7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1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568746.52344130608</v>
      </c>
      <c r="D16" s="273"/>
      <c r="E16" s="263">
        <v>440664.52344130608</v>
      </c>
      <c r="F16" s="264"/>
      <c r="G16" s="263">
        <v>128082</v>
      </c>
      <c r="H16" s="265"/>
      <c r="I16" s="14"/>
    </row>
    <row r="17" spans="2:14">
      <c r="B17" s="89" t="s">
        <v>15</v>
      </c>
      <c r="C17" s="235">
        <v>572962.60000000009</v>
      </c>
      <c r="D17" s="298"/>
      <c r="E17" s="235">
        <v>445786.92000000004</v>
      </c>
      <c r="F17" s="236"/>
      <c r="G17" s="235">
        <v>127175.68000000002</v>
      </c>
      <c r="H17" s="237"/>
      <c r="I17" s="14"/>
    </row>
    <row r="18" spans="2:14" ht="16.5" thickBot="1">
      <c r="B18" s="90" t="s">
        <v>176</v>
      </c>
      <c r="C18" s="269">
        <v>573177.50215275504</v>
      </c>
      <c r="D18" s="327"/>
      <c r="E18" s="260">
        <v>452948.50215275504</v>
      </c>
      <c r="F18" s="261"/>
      <c r="G18" s="260">
        <v>120229</v>
      </c>
      <c r="H18" s="262"/>
      <c r="I18" s="14"/>
    </row>
    <row r="19" spans="2:14" ht="30" customHeight="1" thickBot="1">
      <c r="B19" s="92" t="s">
        <v>274</v>
      </c>
      <c r="C19" s="249">
        <f>E19+G19</f>
        <v>-214.90215275497758</v>
      </c>
      <c r="D19" s="250"/>
      <c r="E19" s="251">
        <f>E17-E18</f>
        <v>-7161.5821527549997</v>
      </c>
      <c r="F19" s="252"/>
      <c r="G19" s="251">
        <f>G17-G18</f>
        <v>6946.6800000000221</v>
      </c>
      <c r="H19" s="253"/>
      <c r="I19" s="14"/>
    </row>
    <row r="20" spans="2:14" ht="11.25" customHeight="1">
      <c r="B20" s="11"/>
      <c r="C20" s="76"/>
      <c r="D20" s="87"/>
      <c r="E20" s="216"/>
      <c r="I20" s="14"/>
    </row>
    <row r="21" spans="2:14" ht="19.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27.7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54.7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64085.42</v>
      </c>
      <c r="N23" s="204">
        <f>M23</f>
        <v>64085.42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0</v>
      </c>
      <c r="F24" s="20">
        <f>$M$23/$M$24*E24</f>
        <v>0</v>
      </c>
      <c r="G24" s="21">
        <f>$N$23/$N$24*E24</f>
        <v>0</v>
      </c>
      <c r="H24" s="22">
        <f>F24-G24</f>
        <v>0</v>
      </c>
      <c r="I24" s="23"/>
      <c r="J24" s="23"/>
      <c r="K24" s="24"/>
      <c r="L24" s="25"/>
      <c r="M24" s="205">
        <f>E33-E31</f>
        <v>14.52</v>
      </c>
      <c r="N24" s="205">
        <f>E33-E31</f>
        <v>14.52</v>
      </c>
    </row>
    <row r="25" spans="2:14" ht="56.25">
      <c r="B25" s="26" t="s">
        <v>189</v>
      </c>
      <c r="C25" s="6" t="s">
        <v>205</v>
      </c>
      <c r="D25" s="19" t="s">
        <v>188</v>
      </c>
      <c r="E25" s="94">
        <v>0</v>
      </c>
      <c r="F25" s="20">
        <f>$M$23/$M$24*E25</f>
        <v>0</v>
      </c>
      <c r="G25" s="21">
        <f>$N$23/$N$24*E25</f>
        <v>0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2.5" customHeight="1">
      <c r="B26" s="27" t="s">
        <v>171</v>
      </c>
      <c r="C26" s="6" t="s">
        <v>205</v>
      </c>
      <c r="D26" s="19" t="s">
        <v>188</v>
      </c>
      <c r="E26" s="94">
        <v>0.4</v>
      </c>
      <c r="F26" s="20">
        <f t="shared" ref="F26:F32" si="1">$M$23/$M$24*E26</f>
        <v>1765.4385674931132</v>
      </c>
      <c r="G26" s="21">
        <f t="shared" ref="G26:G29" si="2">$N$23/$N$24*E26</f>
        <v>1765.4385674931132</v>
      </c>
      <c r="H26" s="22">
        <f t="shared" si="0"/>
        <v>0</v>
      </c>
      <c r="I26" s="23"/>
      <c r="J26" s="23"/>
      <c r="L26" s="14"/>
    </row>
    <row r="27" spans="2:14" ht="25.5">
      <c r="B27" s="27" t="s">
        <v>172</v>
      </c>
      <c r="C27" s="28" t="s">
        <v>190</v>
      </c>
      <c r="D27" s="19" t="s">
        <v>188</v>
      </c>
      <c r="E27" s="94">
        <v>0.7</v>
      </c>
      <c r="F27" s="20">
        <f t="shared" ref="F27" si="3">$M$23/$M$24*E27</f>
        <v>3089.5174931129477</v>
      </c>
      <c r="G27" s="21">
        <f t="shared" ref="G27" si="4">$N$23/$N$24*E27</f>
        <v>3089.5174931129477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1.98</v>
      </c>
      <c r="F28" s="20">
        <f t="shared" si="1"/>
        <v>8738.9209090909098</v>
      </c>
      <c r="G28" s="21">
        <f t="shared" si="2"/>
        <v>8738.9209090909098</v>
      </c>
      <c r="H28" s="22">
        <f t="shared" si="0"/>
        <v>0</v>
      </c>
      <c r="I28" s="23"/>
      <c r="J28" s="23"/>
    </row>
    <row r="29" spans="2:14" ht="145.5" customHeight="1">
      <c r="B29" s="26" t="s">
        <v>204</v>
      </c>
      <c r="C29" s="29" t="s">
        <v>191</v>
      </c>
      <c r="D29" s="19" t="s">
        <v>188</v>
      </c>
      <c r="E29" s="94">
        <v>8.75</v>
      </c>
      <c r="F29" s="20">
        <f t="shared" si="1"/>
        <v>38618.968663911852</v>
      </c>
      <c r="G29" s="21">
        <f t="shared" si="2"/>
        <v>38618.968663911852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08.75" customHeight="1">
      <c r="B30" s="26" t="s">
        <v>192</v>
      </c>
      <c r="C30" s="6" t="s">
        <v>205</v>
      </c>
      <c r="D30" s="19" t="s">
        <v>188</v>
      </c>
      <c r="E30" s="94">
        <v>0.82</v>
      </c>
      <c r="F30" s="20">
        <f t="shared" si="1"/>
        <v>3619.1490633608814</v>
      </c>
      <c r="G30" s="21">
        <f t="shared" ref="G30" si="5">$N$23/$N$24*E30</f>
        <v>3619.1490633608814</v>
      </c>
      <c r="H30" s="22">
        <f t="shared" si="0"/>
        <v>0</v>
      </c>
      <c r="I30" s="23"/>
      <c r="J30" s="23"/>
    </row>
    <row r="31" spans="2:14" ht="56.25">
      <c r="B31" s="27" t="s">
        <v>193</v>
      </c>
      <c r="C31" s="6" t="s">
        <v>205</v>
      </c>
      <c r="D31" s="19" t="s">
        <v>188</v>
      </c>
      <c r="E31" s="94">
        <v>4</v>
      </c>
      <c r="F31" s="20">
        <v>17654.38</v>
      </c>
      <c r="G31" s="4"/>
      <c r="H31" s="22">
        <f>F31-G31</f>
        <v>17654.38</v>
      </c>
      <c r="I31" s="23"/>
      <c r="J31" s="23"/>
      <c r="L31" s="14"/>
    </row>
    <row r="32" spans="2:14" ht="16.5" thickBot="1">
      <c r="B32" s="27" t="s">
        <v>173</v>
      </c>
      <c r="C32" s="49" t="s">
        <v>191</v>
      </c>
      <c r="D32" s="19" t="s">
        <v>188</v>
      </c>
      <c r="E32" s="94">
        <v>1.87</v>
      </c>
      <c r="F32" s="20">
        <f t="shared" si="1"/>
        <v>8253.4253030303043</v>
      </c>
      <c r="G32" s="21">
        <f t="shared" ref="G32" si="6">$N$23/$N$24*E32</f>
        <v>8253.4253030303043</v>
      </c>
      <c r="H32" s="30">
        <f>F32-G32</f>
        <v>0</v>
      </c>
      <c r="I32" s="23"/>
      <c r="J32" s="23"/>
    </row>
    <row r="33" spans="2:14" ht="16.5" thickBot="1">
      <c r="B33" s="31" t="s">
        <v>177</v>
      </c>
      <c r="C33" s="32"/>
      <c r="D33" s="32"/>
      <c r="E33" s="102">
        <f>SUM(E24:E32)</f>
        <v>18.52</v>
      </c>
      <c r="F33" s="33">
        <f>SUM(F24:F32)</f>
        <v>81739.800000000017</v>
      </c>
      <c r="G33" s="34">
        <f>SUM(G24:G32)</f>
        <v>64085.420000000013</v>
      </c>
      <c r="H33" s="35">
        <f>SUM(H24:H32)</f>
        <v>17654.38</v>
      </c>
      <c r="I33" s="36"/>
      <c r="J33" s="36"/>
    </row>
    <row r="34" spans="2:14">
      <c r="B34" s="14"/>
      <c r="C34" s="14"/>
      <c r="D34" s="14"/>
      <c r="E34" s="82"/>
      <c r="F34" s="82"/>
      <c r="G34" s="82"/>
      <c r="H34" s="78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650486.32344130613</v>
      </c>
      <c r="D37" s="239"/>
      <c r="E37" s="263">
        <f>F24+F25+F26+F27+F28+F29+F30+F32+E16</f>
        <v>504749.94344130612</v>
      </c>
      <c r="F37" s="264"/>
      <c r="G37" s="263">
        <f>F31+G16</f>
        <v>145736.38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654499.9800000001</v>
      </c>
      <c r="D38" s="236"/>
      <c r="E38" s="235">
        <f>E17+63926.71</f>
        <v>509713.63000000006</v>
      </c>
      <c r="F38" s="236"/>
      <c r="G38" s="235">
        <f>G17+17610.67</f>
        <v>144786.35000000003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637262.92215275508</v>
      </c>
      <c r="D39" s="270"/>
      <c r="E39" s="260">
        <f>G24+G25+G26+G27+G28+G29+G30+G32+E18</f>
        <v>517033.92215275508</v>
      </c>
      <c r="F39" s="261"/>
      <c r="G39" s="260">
        <f>G31+G18</f>
        <v>120229</v>
      </c>
      <c r="H39" s="262"/>
      <c r="I39" s="222"/>
      <c r="J39" s="222"/>
      <c r="K39" s="41"/>
      <c r="L39" s="41"/>
    </row>
    <row r="40" spans="2:14" ht="25.5" thickBot="1">
      <c r="B40" s="92" t="s">
        <v>275</v>
      </c>
      <c r="C40" s="249">
        <f>E40+G40</f>
        <v>17237.057847245014</v>
      </c>
      <c r="D40" s="250"/>
      <c r="E40" s="251">
        <f>E38-E39</f>
        <v>-7320.2921527550207</v>
      </c>
      <c r="F40" s="252"/>
      <c r="G40" s="251">
        <f>G38-G39</f>
        <v>24557.350000000035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</row>
    <row r="48" spans="2:14" ht="9" customHeight="1">
      <c r="B48" s="46"/>
      <c r="C48" s="46"/>
      <c r="D48" s="46"/>
      <c r="E48" s="220"/>
      <c r="F48" s="268"/>
      <c r="G48" s="268"/>
    </row>
    <row r="49" spans="3:5">
      <c r="C49" s="82"/>
      <c r="E49" s="47"/>
    </row>
  </sheetData>
  <mergeCells count="55">
    <mergeCell ref="C41:E41"/>
    <mergeCell ref="C43:E43"/>
    <mergeCell ref="C45:E45"/>
    <mergeCell ref="C47:E47"/>
    <mergeCell ref="B14:H14"/>
    <mergeCell ref="E19:F19"/>
    <mergeCell ref="F45:G45"/>
    <mergeCell ref="F47:G47"/>
    <mergeCell ref="G39:H39"/>
    <mergeCell ref="C39:D39"/>
    <mergeCell ref="G17:H17"/>
    <mergeCell ref="E18:F18"/>
    <mergeCell ref="G18:H18"/>
    <mergeCell ref="C15:D15"/>
    <mergeCell ref="C16:D16"/>
    <mergeCell ref="C17:D17"/>
    <mergeCell ref="F48:G48"/>
    <mergeCell ref="F41:G41"/>
    <mergeCell ref="F42:G42"/>
    <mergeCell ref="F43:G43"/>
    <mergeCell ref="F44:G44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E15:F15"/>
    <mergeCell ref="G15:H15"/>
    <mergeCell ref="E16:F16"/>
    <mergeCell ref="G16:H16"/>
    <mergeCell ref="D5:E5"/>
    <mergeCell ref="G19:H19"/>
    <mergeCell ref="E17:F17"/>
    <mergeCell ref="C18:D18"/>
    <mergeCell ref="C19:D19"/>
    <mergeCell ref="C40:D40"/>
    <mergeCell ref="M21:M22"/>
    <mergeCell ref="G40:H40"/>
    <mergeCell ref="E40:F40"/>
    <mergeCell ref="E39:F39"/>
    <mergeCell ref="N21:N22"/>
    <mergeCell ref="C36:D36"/>
    <mergeCell ref="C37:D37"/>
    <mergeCell ref="C38:D38"/>
    <mergeCell ref="E38:F38"/>
    <mergeCell ref="G38:H38"/>
    <mergeCell ref="B35:H35"/>
    <mergeCell ref="E36:F36"/>
    <mergeCell ref="G36:H36"/>
    <mergeCell ref="E37:F37"/>
    <mergeCell ref="G37:H37"/>
  </mergeCells>
  <printOptions horizontalCentered="1"/>
  <pageMargins left="0.31496062992125984" right="0.19685039370078741" top="0.15748031496062992" bottom="0.23622047244094491" header="0.16" footer="0.25"/>
  <pageSetup paperSize="9" scale="50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7.42578125" style="3" customWidth="1"/>
    <col min="3" max="3" width="21.7109375" style="78" customWidth="1"/>
    <col min="4" max="4" width="9.28515625" style="78" customWidth="1"/>
    <col min="5" max="5" width="10.28515625" style="78" customWidth="1"/>
    <col min="6" max="6" width="10.140625" style="3" customWidth="1"/>
    <col min="7" max="7" width="10.28515625" style="3" customWidth="1"/>
    <col min="8" max="8" width="10.7109375" style="3" customWidth="1"/>
    <col min="9" max="9" width="10.7109375" style="3" bestFit="1" customWidth="1"/>
    <col min="10" max="11" width="9.140625" style="3"/>
    <col min="12" max="12" width="12.28515625" style="3" customWidth="1"/>
    <col min="13" max="13" width="14.5703125" style="185" customWidth="1"/>
    <col min="14" max="14" width="17.14062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8.2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162</v>
      </c>
      <c r="E5" s="233"/>
      <c r="F5" s="8"/>
    </row>
    <row r="6" spans="1:9">
      <c r="B6" s="8" t="s">
        <v>1</v>
      </c>
      <c r="C6" s="45"/>
      <c r="D6" s="217">
        <v>1961</v>
      </c>
      <c r="E6" s="217"/>
      <c r="F6" s="8"/>
    </row>
    <row r="7" spans="1:9" hidden="1" outlineLevel="1">
      <c r="B7" s="8" t="s">
        <v>2</v>
      </c>
      <c r="C7" s="45"/>
      <c r="D7" s="217">
        <v>2</v>
      </c>
      <c r="E7" s="217"/>
      <c r="F7" s="8"/>
    </row>
    <row r="8" spans="1:9" hidden="1" outlineLevel="1">
      <c r="B8" s="8" t="s">
        <v>3</v>
      </c>
      <c r="C8" s="45"/>
      <c r="D8" s="217">
        <v>8</v>
      </c>
      <c r="E8" s="217"/>
      <c r="F8" s="8"/>
    </row>
    <row r="9" spans="1:9" ht="30.75" hidden="1" customHeight="1" outlineLevel="1">
      <c r="B9" s="111" t="s">
        <v>4</v>
      </c>
      <c r="C9" s="122"/>
      <c r="D9" s="217" t="s">
        <v>163</v>
      </c>
      <c r="E9" s="217"/>
      <c r="F9" s="8"/>
    </row>
    <row r="10" spans="1:9" collapsed="1">
      <c r="B10" s="8" t="s">
        <v>5</v>
      </c>
      <c r="C10" s="45"/>
      <c r="D10" s="217" t="s">
        <v>264</v>
      </c>
      <c r="E10" s="217"/>
      <c r="F10" s="8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164</v>
      </c>
      <c r="E12" s="216"/>
      <c r="I12" s="14"/>
    </row>
    <row r="13" spans="1:9" ht="9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4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702598.52458900586</v>
      </c>
      <c r="D16" s="273"/>
      <c r="E16" s="263">
        <v>474753.81458900578</v>
      </c>
      <c r="F16" s="264"/>
      <c r="G16" s="263">
        <v>227844.71000000002</v>
      </c>
      <c r="H16" s="265"/>
      <c r="I16" s="14"/>
    </row>
    <row r="17" spans="2:14">
      <c r="B17" s="89" t="s">
        <v>15</v>
      </c>
      <c r="C17" s="235">
        <v>698532.14999999991</v>
      </c>
      <c r="D17" s="298"/>
      <c r="E17" s="235">
        <v>475645.1399999999</v>
      </c>
      <c r="F17" s="236"/>
      <c r="G17" s="235">
        <v>222887.00999999998</v>
      </c>
      <c r="H17" s="237"/>
      <c r="I17" s="14"/>
    </row>
    <row r="18" spans="2:14" ht="16.5" thickBot="1">
      <c r="B18" s="90" t="s">
        <v>176</v>
      </c>
      <c r="C18" s="269">
        <v>637002.96742376068</v>
      </c>
      <c r="D18" s="327"/>
      <c r="E18" s="260">
        <v>484159.96742376068</v>
      </c>
      <c r="F18" s="261"/>
      <c r="G18" s="260">
        <v>152843</v>
      </c>
      <c r="H18" s="262"/>
      <c r="I18" s="14"/>
    </row>
    <row r="19" spans="2:14" ht="27.75" customHeight="1" thickBot="1">
      <c r="B19" s="92" t="s">
        <v>274</v>
      </c>
      <c r="C19" s="249">
        <f>E19+G19</f>
        <v>61529.182576239196</v>
      </c>
      <c r="D19" s="250"/>
      <c r="E19" s="251">
        <f>E17-E18</f>
        <v>-8514.8274237607839</v>
      </c>
      <c r="F19" s="252"/>
      <c r="G19" s="251">
        <f>G17-G18</f>
        <v>70044.00999999998</v>
      </c>
      <c r="H19" s="253"/>
      <c r="I19" s="14"/>
    </row>
    <row r="20" spans="2:14">
      <c r="B20" s="11"/>
      <c r="C20" s="76"/>
      <c r="D20" s="87"/>
      <c r="E20" s="216"/>
      <c r="I20" s="14"/>
    </row>
    <row r="21" spans="2:14" ht="21.75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33.7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73720.899999999994</v>
      </c>
      <c r="N23" s="204">
        <f>M23</f>
        <v>73720.899999999994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14909.844943820222</v>
      </c>
      <c r="G24" s="21">
        <f>$N$23/$N$24*E24</f>
        <v>14909.844943820222</v>
      </c>
      <c r="H24" s="22">
        <f>F24-G24</f>
        <v>0</v>
      </c>
      <c r="I24" s="23"/>
      <c r="J24" s="23"/>
      <c r="K24" s="24"/>
      <c r="L24" s="25"/>
      <c r="M24" s="205">
        <f>E33-E31</f>
        <v>16.91</v>
      </c>
      <c r="N24" s="205">
        <f>E33-E31</f>
        <v>16.91</v>
      </c>
    </row>
    <row r="25" spans="2:14" ht="56.25">
      <c r="B25" s="26" t="s">
        <v>189</v>
      </c>
      <c r="C25" s="6" t="s">
        <v>205</v>
      </c>
      <c r="D25" s="19" t="s">
        <v>188</v>
      </c>
      <c r="E25" s="94">
        <v>3.8</v>
      </c>
      <c r="F25" s="20">
        <f>$M$23/$M$24*E25</f>
        <v>16566.494382022469</v>
      </c>
      <c r="G25" s="21">
        <f>$N$23/$N$24*E25</f>
        <v>16566.494382022469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2.5" customHeight="1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1525.8613246599641</v>
      </c>
      <c r="G26" s="21">
        <f t="shared" ref="G26:G29" si="2">$N$23/$N$24*E26</f>
        <v>1525.8613246599641</v>
      </c>
      <c r="H26" s="22">
        <f t="shared" si="0"/>
        <v>0</v>
      </c>
      <c r="I26" s="23"/>
      <c r="J26" s="23"/>
      <c r="L26" s="14"/>
    </row>
    <row r="27" spans="2:14" ht="25.5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ref="F27" si="3">$M$23/$M$24*E27</f>
        <v>2790.1464222353634</v>
      </c>
      <c r="G27" s="21">
        <f t="shared" ref="G27" si="4">$N$23/$N$24*E27</f>
        <v>2790.1464222353634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1.62</v>
      </c>
      <c r="F28" s="20">
        <f t="shared" si="1"/>
        <v>7062.5581312832637</v>
      </c>
      <c r="G28" s="21">
        <f t="shared" si="2"/>
        <v>7062.5581312832637</v>
      </c>
      <c r="H28" s="22">
        <f t="shared" si="0"/>
        <v>0</v>
      </c>
      <c r="I28" s="23"/>
      <c r="J28" s="23"/>
    </row>
    <row r="29" spans="2:14" ht="210" customHeight="1">
      <c r="B29" s="26" t="s">
        <v>204</v>
      </c>
      <c r="C29" s="29" t="s">
        <v>191</v>
      </c>
      <c r="D29" s="19" t="s">
        <v>188</v>
      </c>
      <c r="E29" s="94">
        <v>5.55</v>
      </c>
      <c r="F29" s="20">
        <f t="shared" si="1"/>
        <v>24195.80100532229</v>
      </c>
      <c r="G29" s="21">
        <f t="shared" si="2"/>
        <v>24195.80100532229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08.75" customHeight="1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1"/>
        <v>1307.8811354228264</v>
      </c>
      <c r="G30" s="21">
        <f t="shared" ref="G30" si="5">$N$23/$N$24*E30</f>
        <v>1307.8811354228264</v>
      </c>
      <c r="H30" s="22">
        <f t="shared" si="0"/>
        <v>0</v>
      </c>
      <c r="I30" s="23"/>
      <c r="J30" s="23"/>
    </row>
    <row r="31" spans="2:14" ht="56.25">
      <c r="B31" s="27" t="s">
        <v>193</v>
      </c>
      <c r="C31" s="6" t="s">
        <v>205</v>
      </c>
      <c r="D31" s="19" t="s">
        <v>188</v>
      </c>
      <c r="E31" s="94">
        <v>4.7</v>
      </c>
      <c r="F31" s="20">
        <v>20490.14</v>
      </c>
      <c r="G31" s="4">
        <v>15118</v>
      </c>
      <c r="H31" s="22">
        <f>F31-G31</f>
        <v>5372.1399999999994</v>
      </c>
      <c r="I31" s="23"/>
      <c r="J31" s="23"/>
      <c r="L31" s="14"/>
    </row>
    <row r="32" spans="2:14" ht="16.5" thickBot="1">
      <c r="B32" s="27" t="s">
        <v>173</v>
      </c>
      <c r="C32" s="49" t="s">
        <v>191</v>
      </c>
      <c r="D32" s="19" t="s">
        <v>188</v>
      </c>
      <c r="E32" s="94">
        <v>1.23</v>
      </c>
      <c r="F32" s="20">
        <f t="shared" si="1"/>
        <v>5362.3126552335889</v>
      </c>
      <c r="G32" s="21">
        <f t="shared" ref="G32" si="6">$N$23/$N$24*E32</f>
        <v>5362.3126552335889</v>
      </c>
      <c r="H32" s="30">
        <f>F32-G32</f>
        <v>0</v>
      </c>
      <c r="I32" s="23"/>
      <c r="J32" s="23"/>
    </row>
    <row r="33" spans="2:14" ht="16.5" thickBot="1">
      <c r="B33" s="31" t="s">
        <v>177</v>
      </c>
      <c r="C33" s="32"/>
      <c r="D33" s="32"/>
      <c r="E33" s="102">
        <f>SUM(E24:E32)</f>
        <v>21.61</v>
      </c>
      <c r="F33" s="33">
        <f>SUM(F24:F32)</f>
        <v>94211.039999999979</v>
      </c>
      <c r="G33" s="34">
        <f>SUM(G24:G32)</f>
        <v>88838.89999999998</v>
      </c>
      <c r="H33" s="35">
        <f>SUM(H24:H32)</f>
        <v>5372.1399999999994</v>
      </c>
      <c r="I33" s="36"/>
      <c r="J33" s="36"/>
    </row>
    <row r="34" spans="2:14">
      <c r="B34" s="14"/>
      <c r="C34" s="14"/>
      <c r="D34" s="14"/>
      <c r="E34" s="82"/>
      <c r="F34" s="82"/>
      <c r="G34" s="82"/>
      <c r="H34" s="78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796809.56458900589</v>
      </c>
      <c r="D37" s="239"/>
      <c r="E37" s="263">
        <f>F24+F25+F26+F27+F28+F29+F30+F32+E16</f>
        <v>548474.7145890058</v>
      </c>
      <c r="F37" s="264"/>
      <c r="G37" s="263">
        <f>F31+G16</f>
        <v>248334.85000000003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803053.95</v>
      </c>
      <c r="D38" s="236"/>
      <c r="E38" s="235">
        <f>E17+81789.15</f>
        <v>557434.28999999992</v>
      </c>
      <c r="F38" s="236"/>
      <c r="G38" s="235">
        <f>G17+22732.65</f>
        <v>245619.65999999997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725841.8674237607</v>
      </c>
      <c r="D39" s="270"/>
      <c r="E39" s="260">
        <f>G24+G25+G26+G27+G28+G29+G30+G32+E18</f>
        <v>557880.8674237607</v>
      </c>
      <c r="F39" s="261"/>
      <c r="G39" s="260">
        <f>G31+G18</f>
        <v>167961</v>
      </c>
      <c r="H39" s="262"/>
      <c r="I39" s="222"/>
      <c r="J39" s="222"/>
      <c r="K39" s="41"/>
      <c r="L39" s="41"/>
    </row>
    <row r="40" spans="2:14" ht="25.5" thickBot="1">
      <c r="B40" s="92" t="s">
        <v>275</v>
      </c>
      <c r="C40" s="249">
        <f>E40+G40</f>
        <v>77212.082576239191</v>
      </c>
      <c r="D40" s="250"/>
      <c r="E40" s="251">
        <f>E38-E39</f>
        <v>-446.57742376078386</v>
      </c>
      <c r="F40" s="252"/>
      <c r="G40" s="251">
        <f>G38-G39</f>
        <v>77658.659999999974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</row>
    <row r="48" spans="2:14" ht="8.25" customHeight="1">
      <c r="E48" s="220"/>
    </row>
  </sheetData>
  <mergeCells count="54">
    <mergeCell ref="G15:H15"/>
    <mergeCell ref="C43:E43"/>
    <mergeCell ref="C45:E45"/>
    <mergeCell ref="C47:E47"/>
    <mergeCell ref="G17:H17"/>
    <mergeCell ref="E18:F18"/>
    <mergeCell ref="G18:H18"/>
    <mergeCell ref="E19:F19"/>
    <mergeCell ref="G19:H19"/>
    <mergeCell ref="F42:G42"/>
    <mergeCell ref="F43:G43"/>
    <mergeCell ref="F44:G44"/>
    <mergeCell ref="F45:G45"/>
    <mergeCell ref="F47:G47"/>
    <mergeCell ref="G39:H39"/>
    <mergeCell ref="G40:H40"/>
    <mergeCell ref="N21:N22"/>
    <mergeCell ref="E39:F39"/>
    <mergeCell ref="E40:F40"/>
    <mergeCell ref="C41:E41"/>
    <mergeCell ref="E38:F38"/>
    <mergeCell ref="M21:M22"/>
    <mergeCell ref="C39:D39"/>
    <mergeCell ref="C40:D40"/>
    <mergeCell ref="C37:D37"/>
    <mergeCell ref="C38:D38"/>
    <mergeCell ref="E37:F37"/>
    <mergeCell ref="G37:H37"/>
    <mergeCell ref="G38:H38"/>
    <mergeCell ref="F41:G41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E16:F16"/>
    <mergeCell ref="G16:H16"/>
    <mergeCell ref="E17:F17"/>
    <mergeCell ref="C15:D15"/>
    <mergeCell ref="C16:D16"/>
    <mergeCell ref="C17:D17"/>
    <mergeCell ref="C18:D18"/>
    <mergeCell ref="C19:D19"/>
    <mergeCell ref="C36:D36"/>
    <mergeCell ref="B35:H35"/>
    <mergeCell ref="E36:F36"/>
    <mergeCell ref="G36:H36"/>
  </mergeCells>
  <printOptions horizontalCentered="1"/>
  <pageMargins left="0.2" right="0.19685039370078741" top="0.15748031496062992" bottom="0.23622047244094491" header="0.16" footer="0.25"/>
  <pageSetup paperSize="9" scale="48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48"/>
  <sheetViews>
    <sheetView zoomScale="110" zoomScaleNormal="110" workbookViewId="0">
      <selection activeCell="K40" sqref="K40"/>
    </sheetView>
  </sheetViews>
  <sheetFormatPr defaultColWidth="9.140625" defaultRowHeight="15.75" outlineLevelRow="1"/>
  <cols>
    <col min="1" max="1" width="2.85546875" style="3" customWidth="1"/>
    <col min="2" max="2" width="58" style="3" customWidth="1"/>
    <col min="3" max="3" width="22.42578125" style="78" customWidth="1"/>
    <col min="4" max="4" width="9.28515625" style="78" customWidth="1"/>
    <col min="5" max="5" width="10.28515625" style="78" customWidth="1"/>
    <col min="6" max="6" width="9.7109375" style="3" customWidth="1"/>
    <col min="7" max="8" width="10.28515625" style="3" customWidth="1"/>
    <col min="9" max="9" width="10.7109375" style="3" bestFit="1" customWidth="1"/>
    <col min="10" max="12" width="9.140625" style="3"/>
    <col min="13" max="13" width="15.140625" style="185" customWidth="1"/>
    <col min="14" max="14" width="14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"/>
      <c r="B2" s="231" t="s">
        <v>306</v>
      </c>
      <c r="C2" s="231"/>
      <c r="D2" s="231"/>
      <c r="E2" s="231"/>
      <c r="F2" s="231"/>
      <c r="G2" s="231"/>
      <c r="H2" s="231"/>
    </row>
    <row r="3" spans="1:9" ht="21" customHeight="1">
      <c r="A3" s="5"/>
      <c r="B3" s="231"/>
      <c r="C3" s="231"/>
      <c r="D3" s="231"/>
      <c r="E3" s="231"/>
      <c r="F3" s="231"/>
      <c r="G3" s="231"/>
      <c r="H3" s="231"/>
    </row>
    <row r="4" spans="1:9" ht="13.5" customHeight="1">
      <c r="A4" s="5"/>
      <c r="B4" s="5"/>
      <c r="C4" s="5"/>
      <c r="D4" s="5"/>
      <c r="E4" s="5"/>
      <c r="F4" s="5"/>
      <c r="G4" s="5"/>
    </row>
    <row r="5" spans="1:9">
      <c r="B5" s="8" t="s">
        <v>0</v>
      </c>
      <c r="C5" s="45"/>
      <c r="D5" s="233" t="s">
        <v>165</v>
      </c>
      <c r="E5" s="233"/>
    </row>
    <row r="6" spans="1:9">
      <c r="B6" s="8" t="s">
        <v>1</v>
      </c>
      <c r="C6" s="45"/>
      <c r="D6" s="217">
        <v>1957</v>
      </c>
      <c r="E6" s="217"/>
    </row>
    <row r="7" spans="1:9" hidden="1" outlineLevel="1">
      <c r="B7" s="8" t="s">
        <v>2</v>
      </c>
      <c r="C7" s="45"/>
      <c r="D7" s="217">
        <v>2</v>
      </c>
      <c r="E7" s="217"/>
    </row>
    <row r="8" spans="1:9" hidden="1" outlineLevel="1">
      <c r="B8" s="8" t="s">
        <v>3</v>
      </c>
      <c r="C8" s="45"/>
      <c r="D8" s="217">
        <v>8</v>
      </c>
      <c r="E8" s="217"/>
    </row>
    <row r="9" spans="1:9" ht="30.75" hidden="1" customHeight="1" outlineLevel="1">
      <c r="B9" s="111" t="s">
        <v>4</v>
      </c>
      <c r="C9" s="122"/>
      <c r="D9" s="217" t="s">
        <v>166</v>
      </c>
      <c r="E9" s="217"/>
    </row>
    <row r="10" spans="1:9" collapsed="1">
      <c r="B10" s="8" t="s">
        <v>5</v>
      </c>
      <c r="C10" s="45"/>
      <c r="D10" s="217" t="s">
        <v>265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0.75" hidden="1" customHeight="1" outlineLevel="1">
      <c r="B12" s="11" t="s">
        <v>7</v>
      </c>
      <c r="C12" s="76"/>
      <c r="D12" s="87" t="s">
        <v>164</v>
      </c>
      <c r="E12" s="216"/>
      <c r="I12" s="14"/>
    </row>
    <row r="13" spans="1:9" ht="10.5" customHeight="1" collapsed="1">
      <c r="B13" s="11"/>
      <c r="C13" s="76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54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841532.12161023845</v>
      </c>
      <c r="D16" s="273"/>
      <c r="E16" s="263">
        <v>597306.33161023853</v>
      </c>
      <c r="F16" s="264"/>
      <c r="G16" s="263">
        <v>244225.78999999998</v>
      </c>
      <c r="H16" s="265"/>
      <c r="I16" s="14"/>
    </row>
    <row r="17" spans="2:14">
      <c r="B17" s="89" t="s">
        <v>15</v>
      </c>
      <c r="C17" s="235">
        <v>832259.35</v>
      </c>
      <c r="D17" s="298"/>
      <c r="E17" s="235">
        <v>591185.96</v>
      </c>
      <c r="F17" s="236"/>
      <c r="G17" s="235">
        <v>241073.39</v>
      </c>
      <c r="H17" s="237"/>
      <c r="I17" s="14"/>
    </row>
    <row r="18" spans="2:14" ht="16.5" thickBot="1">
      <c r="B18" s="90" t="s">
        <v>176</v>
      </c>
      <c r="C18" s="269">
        <v>790276.45179348253</v>
      </c>
      <c r="D18" s="327"/>
      <c r="E18" s="260">
        <v>605513.45179348253</v>
      </c>
      <c r="F18" s="261"/>
      <c r="G18" s="260">
        <v>184763</v>
      </c>
      <c r="H18" s="262"/>
      <c r="I18" s="14"/>
    </row>
    <row r="19" spans="2:14" ht="25.5" thickBot="1">
      <c r="B19" s="92" t="s">
        <v>274</v>
      </c>
      <c r="C19" s="249">
        <f>E19+G19</f>
        <v>41982.89820651745</v>
      </c>
      <c r="D19" s="250"/>
      <c r="E19" s="251">
        <f>E17-E18</f>
        <v>-14327.491793482564</v>
      </c>
      <c r="F19" s="252"/>
      <c r="G19" s="251">
        <f>G17-G18</f>
        <v>56310.390000000014</v>
      </c>
      <c r="H19" s="253"/>
      <c r="I19" s="14"/>
    </row>
    <row r="20" spans="2:14">
      <c r="B20" s="11"/>
      <c r="C20" s="76"/>
      <c r="D20" s="87"/>
      <c r="E20" s="216"/>
      <c r="I20" s="14"/>
    </row>
    <row r="21" spans="2:14" ht="21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4"/>
      <c r="M21" s="241" t="s">
        <v>278</v>
      </c>
      <c r="N21" s="241" t="s">
        <v>279</v>
      </c>
    </row>
    <row r="22" spans="2:14" ht="33.7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4"/>
      <c r="M22" s="242"/>
      <c r="N22" s="242"/>
    </row>
    <row r="23" spans="2:14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89533.94</v>
      </c>
      <c r="N23" s="204">
        <f>M23</f>
        <v>89533.94</v>
      </c>
    </row>
    <row r="24" spans="2:14" ht="50.25" customHeight="1">
      <c r="B24" s="18" t="s">
        <v>178</v>
      </c>
      <c r="C24" s="6" t="s">
        <v>205</v>
      </c>
      <c r="D24" s="19" t="s">
        <v>188</v>
      </c>
      <c r="E24" s="93">
        <v>3.42</v>
      </c>
      <c r="F24" s="20">
        <f>$M$23/$M$24*E24</f>
        <v>17844.176853146855</v>
      </c>
      <c r="G24" s="21">
        <f>$N$23/$N$24*E24</f>
        <v>17844.176853146855</v>
      </c>
      <c r="H24" s="22">
        <f>F24-G24</f>
        <v>0</v>
      </c>
      <c r="I24" s="23"/>
      <c r="J24" s="23"/>
      <c r="K24" s="24"/>
      <c r="L24" s="25"/>
      <c r="M24" s="205">
        <f>E33-E31</f>
        <v>17.16</v>
      </c>
      <c r="N24" s="205">
        <f>E33-E31</f>
        <v>17.16</v>
      </c>
    </row>
    <row r="25" spans="2:14" ht="56.25">
      <c r="B25" s="26" t="s">
        <v>189</v>
      </c>
      <c r="C25" s="6" t="s">
        <v>205</v>
      </c>
      <c r="D25" s="19" t="s">
        <v>188</v>
      </c>
      <c r="E25" s="94">
        <v>0</v>
      </c>
      <c r="F25" s="20">
        <f>$M$23/$M$24*E25</f>
        <v>0</v>
      </c>
      <c r="G25" s="21">
        <f>$N$23/$N$24*E25</f>
        <v>0</v>
      </c>
      <c r="H25" s="22">
        <f t="shared" ref="H25:H30" si="0">F25-G25</f>
        <v>0</v>
      </c>
      <c r="I25" s="23"/>
      <c r="J25" s="23"/>
      <c r="K25" s="2"/>
      <c r="L25" s="2"/>
      <c r="M25" s="186"/>
      <c r="N25" s="186"/>
    </row>
    <row r="26" spans="2:14" ht="52.5" customHeight="1">
      <c r="B26" s="27" t="s">
        <v>171</v>
      </c>
      <c r="C26" s="6" t="s">
        <v>205</v>
      </c>
      <c r="D26" s="19" t="s">
        <v>188</v>
      </c>
      <c r="E26" s="94">
        <v>0.35</v>
      </c>
      <c r="F26" s="20">
        <f t="shared" ref="F26:F32" si="1">$M$23/$M$24*E26</f>
        <v>1826.1584498834497</v>
      </c>
      <c r="G26" s="21">
        <f t="shared" ref="G26:G29" si="2">$N$23/$N$24*E26</f>
        <v>1826.1584498834497</v>
      </c>
      <c r="H26" s="22">
        <f t="shared" si="0"/>
        <v>0</v>
      </c>
      <c r="I26" s="23"/>
      <c r="J26" s="23"/>
      <c r="L26" s="14"/>
    </row>
    <row r="27" spans="2:14" ht="25.5">
      <c r="B27" s="27" t="s">
        <v>172</v>
      </c>
      <c r="C27" s="28" t="s">
        <v>190</v>
      </c>
      <c r="D27" s="19" t="s">
        <v>188</v>
      </c>
      <c r="E27" s="94">
        <v>0.7</v>
      </c>
      <c r="F27" s="20">
        <f t="shared" ref="F27" si="3">$M$23/$M$24*E27</f>
        <v>3652.3168997668995</v>
      </c>
      <c r="G27" s="21">
        <f t="shared" ref="G27" si="4">$N$23/$N$24*E27</f>
        <v>3652.3168997668995</v>
      </c>
      <c r="H27" s="22">
        <f t="shared" si="0"/>
        <v>0</v>
      </c>
      <c r="I27" s="23"/>
      <c r="J27" s="23"/>
      <c r="L27" s="14"/>
    </row>
    <row r="28" spans="2:14" ht="51">
      <c r="B28" s="26" t="s">
        <v>179</v>
      </c>
      <c r="C28" s="29" t="s">
        <v>211</v>
      </c>
      <c r="D28" s="19" t="s">
        <v>188</v>
      </c>
      <c r="E28" s="94">
        <v>2</v>
      </c>
      <c r="F28" s="20">
        <f t="shared" si="1"/>
        <v>10435.191142191143</v>
      </c>
      <c r="G28" s="21">
        <f t="shared" si="2"/>
        <v>10435.191142191143</v>
      </c>
      <c r="H28" s="22">
        <f t="shared" si="0"/>
        <v>0</v>
      </c>
      <c r="I28" s="23"/>
      <c r="J28" s="23"/>
    </row>
    <row r="29" spans="2:14" ht="211.5" customHeight="1">
      <c r="B29" s="26" t="s">
        <v>204</v>
      </c>
      <c r="C29" s="29" t="s">
        <v>191</v>
      </c>
      <c r="D29" s="19" t="s">
        <v>188</v>
      </c>
      <c r="E29" s="94">
        <v>8.57</v>
      </c>
      <c r="F29" s="20">
        <f t="shared" si="1"/>
        <v>44714.794044289047</v>
      </c>
      <c r="G29" s="21">
        <f t="shared" si="2"/>
        <v>44714.794044289047</v>
      </c>
      <c r="H29" s="22">
        <f t="shared" si="0"/>
        <v>0</v>
      </c>
      <c r="I29" s="23"/>
      <c r="J29" s="23"/>
      <c r="K29" s="2"/>
      <c r="L29" s="1"/>
      <c r="M29" s="186"/>
      <c r="N29" s="186"/>
    </row>
    <row r="30" spans="2:14" ht="108.75" customHeight="1">
      <c r="B30" s="26" t="s">
        <v>192</v>
      </c>
      <c r="C30" s="6" t="s">
        <v>205</v>
      </c>
      <c r="D30" s="19" t="s">
        <v>188</v>
      </c>
      <c r="E30" s="94">
        <v>0.7</v>
      </c>
      <c r="F30" s="20">
        <f t="shared" si="1"/>
        <v>3652.3168997668995</v>
      </c>
      <c r="G30" s="21">
        <f t="shared" ref="G30" si="5">$N$23/$N$24*E30</f>
        <v>3652.3168997668995</v>
      </c>
      <c r="H30" s="22">
        <f t="shared" si="0"/>
        <v>0</v>
      </c>
      <c r="I30" s="23"/>
      <c r="J30" s="23"/>
    </row>
    <row r="31" spans="2:14" ht="56.25">
      <c r="B31" s="27" t="s">
        <v>193</v>
      </c>
      <c r="C31" s="6" t="s">
        <v>205</v>
      </c>
      <c r="D31" s="19" t="s">
        <v>188</v>
      </c>
      <c r="E31" s="94">
        <v>4.2</v>
      </c>
      <c r="F31" s="20">
        <v>21913.9</v>
      </c>
      <c r="G31" s="4"/>
      <c r="H31" s="22">
        <f>F31-G31</f>
        <v>21913.9</v>
      </c>
      <c r="I31" s="23"/>
      <c r="J31" s="23"/>
      <c r="L31" s="14"/>
    </row>
    <row r="32" spans="2:14" ht="16.5" thickBot="1">
      <c r="B32" s="27" t="s">
        <v>173</v>
      </c>
      <c r="C32" s="49" t="s">
        <v>191</v>
      </c>
      <c r="D32" s="19" t="s">
        <v>188</v>
      </c>
      <c r="E32" s="94">
        <v>1.42</v>
      </c>
      <c r="F32" s="20">
        <f t="shared" si="1"/>
        <v>7408.9857109557106</v>
      </c>
      <c r="G32" s="21">
        <f t="shared" ref="G32" si="6">$N$23/$N$24*E32</f>
        <v>7408.9857109557106</v>
      </c>
      <c r="H32" s="30">
        <f>F32-G32</f>
        <v>0</v>
      </c>
      <c r="I32" s="23"/>
      <c r="J32" s="23"/>
    </row>
    <row r="33" spans="2:14" ht="16.5" thickBot="1">
      <c r="B33" s="31" t="s">
        <v>177</v>
      </c>
      <c r="C33" s="32"/>
      <c r="D33" s="32"/>
      <c r="E33" s="102">
        <f>SUM(E24:E32)</f>
        <v>21.36</v>
      </c>
      <c r="F33" s="33">
        <f>SUM(F24:F32)</f>
        <v>111447.84000000001</v>
      </c>
      <c r="G33" s="34">
        <f>SUM(G24:G32)</f>
        <v>89533.94</v>
      </c>
      <c r="H33" s="35">
        <f>SUM(H24:H32)</f>
        <v>21913.9</v>
      </c>
      <c r="I33" s="36"/>
      <c r="J33" s="36"/>
    </row>
    <row r="34" spans="2:14">
      <c r="B34" s="14"/>
      <c r="C34" s="14"/>
      <c r="D34" s="14"/>
      <c r="E34" s="82"/>
      <c r="F34" s="82"/>
      <c r="G34" s="82"/>
      <c r="H34" s="78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39"/>
      <c r="L36" s="40"/>
      <c r="M36" s="187"/>
      <c r="N36" s="187"/>
    </row>
    <row r="37" spans="2:14">
      <c r="B37" s="88" t="s">
        <v>14</v>
      </c>
      <c r="C37" s="238">
        <f>E37+G37</f>
        <v>952979.96161023853</v>
      </c>
      <c r="D37" s="239"/>
      <c r="E37" s="263">
        <f>F24+F25+F26+F27+F28+F29+F30+F32+E16</f>
        <v>686840.27161023859</v>
      </c>
      <c r="F37" s="264"/>
      <c r="G37" s="263">
        <f>F31+G16</f>
        <v>266139.69</v>
      </c>
      <c r="H37" s="265"/>
      <c r="I37" s="222"/>
      <c r="J37" s="222"/>
      <c r="K37" s="7"/>
      <c r="L37" s="7"/>
      <c r="M37" s="188"/>
    </row>
    <row r="38" spans="2:14">
      <c r="B38" s="89" t="s">
        <v>15</v>
      </c>
      <c r="C38" s="235">
        <f>E38+G38</f>
        <v>934035.57000000007</v>
      </c>
      <c r="D38" s="236"/>
      <c r="E38" s="235">
        <f>E17+81764.04</f>
        <v>672950</v>
      </c>
      <c r="F38" s="236"/>
      <c r="G38" s="235">
        <f>G17+20012.18</f>
        <v>261085.57</v>
      </c>
      <c r="H38" s="237"/>
      <c r="I38" s="222"/>
      <c r="J38" s="222"/>
      <c r="K38" s="9"/>
      <c r="L38" s="7"/>
      <c r="M38" s="188"/>
    </row>
    <row r="39" spans="2:14" ht="16.5" thickBot="1">
      <c r="B39" s="90" t="s">
        <v>176</v>
      </c>
      <c r="C39" s="269">
        <f>E39+G39</f>
        <v>879810.39179348247</v>
      </c>
      <c r="D39" s="270"/>
      <c r="E39" s="260">
        <f>G24+G25+G26+G27+G28+G29+G30+G32+E18</f>
        <v>695047.39179348247</v>
      </c>
      <c r="F39" s="261"/>
      <c r="G39" s="260">
        <f>G31+G18</f>
        <v>184763</v>
      </c>
      <c r="H39" s="262"/>
      <c r="I39" s="222"/>
      <c r="J39" s="222"/>
      <c r="K39" s="41"/>
      <c r="L39" s="41"/>
    </row>
    <row r="40" spans="2:14" ht="25.5" thickBot="1">
      <c r="B40" s="92" t="s">
        <v>275</v>
      </c>
      <c r="C40" s="249">
        <f>E40+G40</f>
        <v>54225.178206517536</v>
      </c>
      <c r="D40" s="250"/>
      <c r="E40" s="251">
        <f>E38-E39</f>
        <v>-22097.391793482471</v>
      </c>
      <c r="F40" s="252"/>
      <c r="G40" s="251">
        <f>G38-G39</f>
        <v>76322.570000000007</v>
      </c>
      <c r="H40" s="253"/>
      <c r="I40" s="222"/>
      <c r="J40" s="222"/>
      <c r="K40" s="41"/>
      <c r="L40" s="41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2"/>
      <c r="L41" s="2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2"/>
      <c r="L42" s="2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2"/>
      <c r="L43" s="2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</row>
    <row r="48" spans="2:14" ht="8.25" customHeight="1">
      <c r="E48" s="220"/>
    </row>
  </sheetData>
  <mergeCells count="54">
    <mergeCell ref="G16:H16"/>
    <mergeCell ref="E17:F17"/>
    <mergeCell ref="G17:H17"/>
    <mergeCell ref="E18:F18"/>
    <mergeCell ref="G18:H18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B14:H14"/>
    <mergeCell ref="E15:F15"/>
    <mergeCell ref="G15:H15"/>
    <mergeCell ref="E16:F16"/>
    <mergeCell ref="D5:E5"/>
    <mergeCell ref="C15:D15"/>
    <mergeCell ref="C16:D16"/>
    <mergeCell ref="C17:D17"/>
    <mergeCell ref="C18:D18"/>
    <mergeCell ref="C19:D19"/>
    <mergeCell ref="C39:D39"/>
    <mergeCell ref="C40:D40"/>
    <mergeCell ref="B35:H35"/>
    <mergeCell ref="E36:F36"/>
    <mergeCell ref="G36:H36"/>
    <mergeCell ref="G39:H39"/>
    <mergeCell ref="E40:F40"/>
    <mergeCell ref="G40:H40"/>
    <mergeCell ref="E19:F19"/>
    <mergeCell ref="G19:H19"/>
    <mergeCell ref="M21:M22"/>
    <mergeCell ref="N21:N22"/>
    <mergeCell ref="C36:D36"/>
    <mergeCell ref="C37:D37"/>
    <mergeCell ref="C38:D38"/>
    <mergeCell ref="E38:F38"/>
    <mergeCell ref="G38:H38"/>
    <mergeCell ref="E37:F37"/>
    <mergeCell ref="G37:H37"/>
    <mergeCell ref="C41:E41"/>
    <mergeCell ref="C43:E43"/>
    <mergeCell ref="C45:E45"/>
    <mergeCell ref="C47:E47"/>
    <mergeCell ref="E39:F39"/>
    <mergeCell ref="F47:G47"/>
    <mergeCell ref="F41:G41"/>
    <mergeCell ref="F42:G42"/>
    <mergeCell ref="F43:G43"/>
    <mergeCell ref="F44:G44"/>
    <mergeCell ref="F45:G45"/>
  </mergeCells>
  <printOptions horizontalCentered="1"/>
  <pageMargins left="0.19685039370078741" right="0.19685039370078741" top="0.15748031496062992" bottom="0.31496062992125984" header="0.31496062992125984" footer="0.31496062992125984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N50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85546875" style="3" customWidth="1"/>
    <col min="3" max="3" width="20.5703125" style="82" customWidth="1"/>
    <col min="4" max="4" width="9.7109375" style="78" customWidth="1"/>
    <col min="5" max="5" width="11.140625" style="78" customWidth="1"/>
    <col min="6" max="6" width="9.5703125" style="78" customWidth="1"/>
    <col min="7" max="7" width="10.42578125" style="3" customWidth="1"/>
    <col min="8" max="8" width="10.5703125" style="78" customWidth="1"/>
    <col min="9" max="9" width="10.7109375" style="3" bestFit="1" customWidth="1"/>
    <col min="10" max="10" width="11.85546875" style="3" customWidth="1"/>
    <col min="11" max="11" width="15.5703125" style="3" customWidth="1"/>
    <col min="12" max="12" width="9.140625" style="3"/>
    <col min="13" max="13" width="15.140625" style="185" customWidth="1"/>
    <col min="14" max="14" width="17.7109375" style="185" customWidth="1"/>
    <col min="15" max="16384" width="9.140625" style="3"/>
  </cols>
  <sheetData>
    <row r="1" spans="1:9">
      <c r="B1" s="272" t="s">
        <v>196</v>
      </c>
      <c r="C1" s="272"/>
      <c r="D1" s="272"/>
      <c r="E1" s="272"/>
      <c r="F1" s="272"/>
      <c r="G1" s="272"/>
      <c r="H1" s="272"/>
    </row>
    <row r="2" spans="1:9" ht="15.75" customHeight="1">
      <c r="A2" s="56"/>
      <c r="B2" s="231" t="s">
        <v>306</v>
      </c>
      <c r="C2" s="231"/>
      <c r="D2" s="231"/>
      <c r="E2" s="231"/>
      <c r="F2" s="231"/>
      <c r="G2" s="231"/>
      <c r="H2" s="231"/>
    </row>
    <row r="3" spans="1:9" ht="27" customHeight="1">
      <c r="A3" s="56"/>
      <c r="B3" s="231"/>
      <c r="C3" s="231"/>
      <c r="D3" s="231"/>
      <c r="E3" s="231"/>
      <c r="F3" s="231"/>
      <c r="G3" s="231"/>
      <c r="H3" s="231"/>
    </row>
    <row r="5" spans="1:9">
      <c r="B5" s="8" t="s">
        <v>0</v>
      </c>
      <c r="C5" s="114"/>
      <c r="D5" s="233" t="s">
        <v>23</v>
      </c>
      <c r="E5" s="233"/>
    </row>
    <row r="6" spans="1:9">
      <c r="B6" s="8" t="s">
        <v>1</v>
      </c>
      <c r="C6" s="114"/>
      <c r="D6" s="217">
        <v>1993</v>
      </c>
      <c r="E6" s="217"/>
    </row>
    <row r="7" spans="1:9" hidden="1" outlineLevel="1">
      <c r="B7" s="8" t="s">
        <v>2</v>
      </c>
      <c r="C7" s="114"/>
      <c r="D7" s="217">
        <v>4</v>
      </c>
      <c r="E7" s="217"/>
    </row>
    <row r="8" spans="1:9" hidden="1" outlineLevel="1">
      <c r="B8" s="8" t="s">
        <v>3</v>
      </c>
      <c r="C8" s="114"/>
      <c r="D8" s="217">
        <v>16</v>
      </c>
      <c r="E8" s="217"/>
    </row>
    <row r="9" spans="1:9" ht="26.25" hidden="1" outlineLevel="1">
      <c r="B9" s="111" t="s">
        <v>4</v>
      </c>
      <c r="C9" s="115"/>
      <c r="D9" s="217" t="s">
        <v>24</v>
      </c>
      <c r="E9" s="217"/>
    </row>
    <row r="10" spans="1:9" collapsed="1">
      <c r="B10" s="8" t="s">
        <v>5</v>
      </c>
      <c r="C10" s="114"/>
      <c r="D10" s="217" t="s">
        <v>214</v>
      </c>
      <c r="E10" s="217"/>
      <c r="I10" s="14"/>
    </row>
    <row r="11" spans="1:9" hidden="1" outlineLevel="1">
      <c r="B11" s="3" t="s">
        <v>6</v>
      </c>
      <c r="D11" s="216" t="s">
        <v>12</v>
      </c>
      <c r="E11" s="216"/>
    </row>
    <row r="12" spans="1:9" ht="31.5" hidden="1" customHeight="1" outlineLevel="1">
      <c r="B12" s="11" t="s">
        <v>7</v>
      </c>
      <c r="C12" s="55"/>
      <c r="D12" s="87" t="s">
        <v>25</v>
      </c>
      <c r="E12" s="216"/>
      <c r="I12" s="14"/>
    </row>
    <row r="13" spans="1:9" collapsed="1">
      <c r="B13" s="11"/>
      <c r="C13" s="55"/>
      <c r="D13" s="87"/>
      <c r="E13" s="216"/>
      <c r="I13" s="14"/>
    </row>
    <row r="14" spans="1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1:9" ht="43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1:9">
      <c r="B16" s="88" t="s">
        <v>14</v>
      </c>
      <c r="C16" s="238">
        <v>2068954.8563315831</v>
      </c>
      <c r="D16" s="273"/>
      <c r="E16" s="263">
        <v>1527634.516331583</v>
      </c>
      <c r="F16" s="264"/>
      <c r="G16" s="263">
        <v>541320.34000000008</v>
      </c>
      <c r="H16" s="265"/>
      <c r="I16" s="14"/>
    </row>
    <row r="17" spans="2:14">
      <c r="B17" s="89" t="s">
        <v>15</v>
      </c>
      <c r="C17" s="235">
        <v>1964800.78</v>
      </c>
      <c r="D17" s="236"/>
      <c r="E17" s="235">
        <v>1450318.04</v>
      </c>
      <c r="F17" s="236"/>
      <c r="G17" s="235">
        <v>514482.74</v>
      </c>
      <c r="H17" s="237"/>
      <c r="I17" s="14"/>
    </row>
    <row r="18" spans="2:14">
      <c r="B18" s="90" t="s">
        <v>176</v>
      </c>
      <c r="C18" s="235">
        <v>1925725.52</v>
      </c>
      <c r="D18" s="236"/>
      <c r="E18" s="260">
        <v>1527634.52</v>
      </c>
      <c r="F18" s="261"/>
      <c r="G18" s="260">
        <v>398091</v>
      </c>
      <c r="H18" s="262"/>
      <c r="I18" s="14"/>
    </row>
    <row r="19" spans="2:14" ht="16.5" thickBot="1">
      <c r="B19" s="91" t="s">
        <v>208</v>
      </c>
      <c r="C19" s="235">
        <v>32400</v>
      </c>
      <c r="D19" s="236"/>
      <c r="E19" s="269">
        <v>32400</v>
      </c>
      <c r="F19" s="270"/>
      <c r="G19" s="269">
        <v>0</v>
      </c>
      <c r="H19" s="271"/>
      <c r="I19" s="14"/>
    </row>
    <row r="20" spans="2:14" ht="33" customHeight="1" thickBot="1">
      <c r="B20" s="92" t="s">
        <v>274</v>
      </c>
      <c r="C20" s="249">
        <f>E20+G20</f>
        <v>71475.260000000009</v>
      </c>
      <c r="D20" s="250"/>
      <c r="E20" s="251">
        <f>E17+E19-E18</f>
        <v>-44916.479999999981</v>
      </c>
      <c r="F20" s="252"/>
      <c r="G20" s="251">
        <f>G17-G18</f>
        <v>116391.73999999999</v>
      </c>
      <c r="H20" s="253"/>
      <c r="I20" s="14"/>
    </row>
    <row r="21" spans="2:14">
      <c r="B21" s="11"/>
      <c r="C21" s="61"/>
      <c r="D21" s="87"/>
      <c r="E21" s="216"/>
      <c r="I21" s="14"/>
    </row>
    <row r="22" spans="2:14" ht="18.75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4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I23" s="15"/>
      <c r="J23" s="15"/>
      <c r="L23" s="14"/>
      <c r="M23" s="242"/>
      <c r="N23" s="242"/>
    </row>
    <row r="24" spans="2:14" ht="4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I24" s="15"/>
      <c r="J24" s="15"/>
      <c r="M24" s="204">
        <v>204222.7</v>
      </c>
      <c r="N24" s="204">
        <f>M24</f>
        <v>204222.7</v>
      </c>
    </row>
    <row r="25" spans="2:14" ht="60" customHeight="1">
      <c r="B25" s="18" t="s">
        <v>178</v>
      </c>
      <c r="C25" s="6" t="s">
        <v>205</v>
      </c>
      <c r="D25" s="19" t="s">
        <v>188</v>
      </c>
      <c r="E25" s="93">
        <v>3.6</v>
      </c>
      <c r="F25" s="20">
        <f>$M$24/$M$25*E25</f>
        <v>38232.018720748827</v>
      </c>
      <c r="G25" s="21">
        <f>$N$24/$N$25*E25</f>
        <v>38232.018720748827</v>
      </c>
      <c r="H25" s="22">
        <f>F25-G25</f>
        <v>0</v>
      </c>
      <c r="I25" s="23"/>
      <c r="J25" s="23"/>
      <c r="K25" s="24"/>
      <c r="L25" s="25"/>
      <c r="M25" s="205">
        <f>E34-E32</f>
        <v>19.230000000000004</v>
      </c>
      <c r="N25" s="205">
        <f>E34-E32</f>
        <v>19.230000000000004</v>
      </c>
    </row>
    <row r="26" spans="2:14" ht="60.75" customHeight="1">
      <c r="B26" s="26" t="s">
        <v>189</v>
      </c>
      <c r="C26" s="6" t="s">
        <v>205</v>
      </c>
      <c r="D26" s="19" t="s">
        <v>188</v>
      </c>
      <c r="E26" s="94">
        <v>4</v>
      </c>
      <c r="F26" s="20">
        <f>$M$24/$M$25*E26</f>
        <v>42480.020800832026</v>
      </c>
      <c r="G26" s="21">
        <f>$N$24/$N$25*E26</f>
        <v>42480.020800832026</v>
      </c>
      <c r="H26" s="22">
        <f t="shared" ref="H26:H31" si="0">F26-G26</f>
        <v>0</v>
      </c>
      <c r="I26" s="23"/>
      <c r="J26" s="23"/>
      <c r="K26" s="2"/>
      <c r="L26" s="2"/>
      <c r="M26" s="186"/>
      <c r="N26" s="186"/>
    </row>
    <row r="27" spans="2:14" ht="64.5" customHeight="1">
      <c r="B27" s="27" t="s">
        <v>171</v>
      </c>
      <c r="C27" s="6" t="s">
        <v>205</v>
      </c>
      <c r="D27" s="19" t="s">
        <v>188</v>
      </c>
      <c r="E27" s="94">
        <v>0.32</v>
      </c>
      <c r="F27" s="20">
        <f t="shared" ref="F27:F30" si="1">$M$24/$M$25*E27</f>
        <v>3398.4016640665623</v>
      </c>
      <c r="G27" s="21">
        <f t="shared" ref="G27:G30" si="2">$N$24/$N$25*E27</f>
        <v>3398.4016640665623</v>
      </c>
      <c r="H27" s="22">
        <f t="shared" si="0"/>
        <v>0</v>
      </c>
      <c r="I27" s="23"/>
      <c r="J27" s="23"/>
      <c r="L27" s="14"/>
    </row>
    <row r="28" spans="2:14" ht="29.25" customHeight="1">
      <c r="B28" s="27" t="s">
        <v>172</v>
      </c>
      <c r="C28" s="28" t="s">
        <v>190</v>
      </c>
      <c r="D28" s="19" t="s">
        <v>188</v>
      </c>
      <c r="E28" s="94">
        <v>0</v>
      </c>
      <c r="F28" s="20">
        <f t="shared" ref="F28" si="3">$M$24/$M$25*E28</f>
        <v>0</v>
      </c>
      <c r="G28" s="21">
        <f t="shared" ref="G28" si="4">$N$24/$N$25*E28</f>
        <v>0</v>
      </c>
      <c r="H28" s="22">
        <f t="shared" si="0"/>
        <v>0</v>
      </c>
      <c r="I28" s="23"/>
      <c r="J28" s="23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2</v>
      </c>
      <c r="F29" s="20">
        <f t="shared" si="1"/>
        <v>21240.010400416013</v>
      </c>
      <c r="G29" s="21">
        <f t="shared" si="2"/>
        <v>21240.010400416013</v>
      </c>
      <c r="H29" s="22">
        <f t="shared" si="0"/>
        <v>0</v>
      </c>
      <c r="I29" s="23"/>
      <c r="J29" s="23"/>
    </row>
    <row r="30" spans="2:14" ht="218.25" customHeight="1">
      <c r="B30" s="26" t="s">
        <v>202</v>
      </c>
      <c r="C30" s="29" t="s">
        <v>191</v>
      </c>
      <c r="D30" s="19" t="s">
        <v>188</v>
      </c>
      <c r="E30" s="94">
        <v>7.3</v>
      </c>
      <c r="F30" s="20">
        <f t="shared" si="1"/>
        <v>77526.03796151845</v>
      </c>
      <c r="G30" s="21">
        <f t="shared" si="2"/>
        <v>77526.03796151845</v>
      </c>
      <c r="H30" s="22">
        <f t="shared" si="0"/>
        <v>0</v>
      </c>
      <c r="I30" s="23"/>
      <c r="J30" s="23"/>
      <c r="K30" s="2"/>
      <c r="L30" s="1"/>
      <c r="M30" s="186"/>
      <c r="N30" s="186"/>
    </row>
    <row r="31" spans="2:14" ht="112.5" customHeight="1">
      <c r="B31" s="26" t="s">
        <v>192</v>
      </c>
      <c r="C31" s="6" t="s">
        <v>205</v>
      </c>
      <c r="D31" s="19" t="s">
        <v>188</v>
      </c>
      <c r="E31" s="94">
        <v>0.35</v>
      </c>
      <c r="F31" s="20">
        <f t="shared" ref="F31:F33" si="5">$M$24/$M$25*E31</f>
        <v>3717.0018200728018</v>
      </c>
      <c r="G31" s="21">
        <f t="shared" ref="G31" si="6">$N$24/$N$25*E31</f>
        <v>3717.0018200728018</v>
      </c>
      <c r="H31" s="22">
        <f t="shared" si="0"/>
        <v>0</v>
      </c>
      <c r="I31" s="23"/>
      <c r="J31" s="23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4.5999999999999996</v>
      </c>
      <c r="F32" s="20">
        <v>48852.02</v>
      </c>
      <c r="G32" s="4">
        <v>18439</v>
      </c>
      <c r="H32" s="22">
        <f>F32-G32</f>
        <v>30413.019999999997</v>
      </c>
      <c r="I32" s="23"/>
      <c r="J32" s="23"/>
      <c r="L32" s="14"/>
    </row>
    <row r="33" spans="2:14" ht="16.5" thickBot="1">
      <c r="B33" s="48" t="s">
        <v>173</v>
      </c>
      <c r="C33" s="49" t="s">
        <v>191</v>
      </c>
      <c r="D33" s="50" t="s">
        <v>188</v>
      </c>
      <c r="E33" s="98">
        <v>1.66</v>
      </c>
      <c r="F33" s="20">
        <f t="shared" si="5"/>
        <v>17629.20863234529</v>
      </c>
      <c r="G33" s="21">
        <f t="shared" ref="G33" si="7">$N$24/$N$25*E33</f>
        <v>17629.20863234529</v>
      </c>
      <c r="H33" s="30">
        <f>F33-G33</f>
        <v>0</v>
      </c>
      <c r="I33" s="23"/>
      <c r="J33" s="23"/>
    </row>
    <row r="34" spans="2:14" ht="16.5" thickBot="1">
      <c r="B34" s="51" t="s">
        <v>177</v>
      </c>
      <c r="C34" s="52"/>
      <c r="D34" s="52"/>
      <c r="E34" s="96">
        <f>SUM(E25:E33)</f>
        <v>23.830000000000002</v>
      </c>
      <c r="F34" s="53">
        <f>SUM(F25:F33)</f>
        <v>253074.71999999994</v>
      </c>
      <c r="G34" s="54">
        <f>SUM(G25:G33)</f>
        <v>222661.69999999995</v>
      </c>
      <c r="H34" s="35">
        <f>SUM(H25:H33)</f>
        <v>30413.019999999997</v>
      </c>
      <c r="I34" s="36"/>
      <c r="J34" s="36"/>
    </row>
    <row r="35" spans="2:14">
      <c r="B35" s="14"/>
      <c r="C35" s="14"/>
      <c r="D35" s="14"/>
      <c r="E35" s="82"/>
      <c r="F35" s="82"/>
      <c r="G35" s="114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4.2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38"/>
      <c r="J37" s="38"/>
      <c r="K37" s="39"/>
      <c r="L37" s="40"/>
      <c r="M37" s="187"/>
      <c r="N37" s="187"/>
    </row>
    <row r="38" spans="2:14">
      <c r="B38" s="88" t="s">
        <v>14</v>
      </c>
      <c r="C38" s="238">
        <f>E38+G38</f>
        <v>2322029.5763315829</v>
      </c>
      <c r="D38" s="239"/>
      <c r="E38" s="263">
        <f>F25+F26+F27+F28+F29+F30+F31+F33+E16</f>
        <v>1731857.216331583</v>
      </c>
      <c r="F38" s="264"/>
      <c r="G38" s="263">
        <f>F32+G16</f>
        <v>590172.3600000001</v>
      </c>
      <c r="H38" s="265"/>
      <c r="I38" s="222"/>
      <c r="J38" s="222"/>
      <c r="K38" s="7"/>
      <c r="L38" s="7"/>
      <c r="M38" s="188"/>
    </row>
    <row r="39" spans="2:14">
      <c r="B39" s="89" t="s">
        <v>15</v>
      </c>
      <c r="C39" s="235">
        <f>E39+G39</f>
        <v>2175705.71</v>
      </c>
      <c r="D39" s="236"/>
      <c r="E39" s="235">
        <f>E17+170193.11</f>
        <v>1620511.15</v>
      </c>
      <c r="F39" s="236"/>
      <c r="G39" s="235">
        <f>G17+40711.82</f>
        <v>555194.55999999994</v>
      </c>
      <c r="H39" s="237"/>
      <c r="I39" s="222"/>
      <c r="J39" s="222"/>
      <c r="K39" s="9"/>
      <c r="L39" s="7"/>
      <c r="M39" s="188"/>
    </row>
    <row r="40" spans="2:14">
      <c r="B40" s="90" t="s">
        <v>176</v>
      </c>
      <c r="C40" s="235">
        <f>E40+G40</f>
        <v>2148387.2199999997</v>
      </c>
      <c r="D40" s="236"/>
      <c r="E40" s="260">
        <f>G25+G26+G27+G28+G29+G30+G31+G33+E18</f>
        <v>1731857.22</v>
      </c>
      <c r="F40" s="261"/>
      <c r="G40" s="260">
        <f>G32+G18</f>
        <v>416530</v>
      </c>
      <c r="H40" s="262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222"/>
      <c r="J41" s="222"/>
      <c r="K41" s="41"/>
      <c r="L41" s="41"/>
    </row>
    <row r="42" spans="2:14" ht="29.25" customHeight="1" thickBot="1">
      <c r="B42" s="92" t="s">
        <v>275</v>
      </c>
      <c r="C42" s="249">
        <f>E42+G42</f>
        <v>63318.489999999874</v>
      </c>
      <c r="D42" s="250"/>
      <c r="E42" s="251">
        <f>E39+E41-E40</f>
        <v>-75346.070000000065</v>
      </c>
      <c r="F42" s="252"/>
      <c r="G42" s="251">
        <f>G39-G40</f>
        <v>138664.55999999994</v>
      </c>
      <c r="H42" s="253"/>
      <c r="I42" s="222"/>
      <c r="J42" s="222"/>
      <c r="K42" s="41"/>
      <c r="L42" s="41"/>
    </row>
    <row r="43" spans="2:14" ht="34.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8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3"/>
    </row>
    <row r="50" spans="2:8" ht="11.25" customHeight="1">
      <c r="B50" s="46"/>
      <c r="C50" s="46"/>
      <c r="D50" s="46"/>
      <c r="E50" s="220"/>
      <c r="F50" s="268"/>
      <c r="G50" s="268"/>
      <c r="H50" s="3"/>
    </row>
  </sheetData>
  <mergeCells count="61">
    <mergeCell ref="C49:E49"/>
    <mergeCell ref="M22:M23"/>
    <mergeCell ref="N22:N23"/>
    <mergeCell ref="C37:D37"/>
    <mergeCell ref="C38:D38"/>
    <mergeCell ref="C39:D39"/>
    <mergeCell ref="E39:F39"/>
    <mergeCell ref="G39:H39"/>
    <mergeCell ref="B36:H36"/>
    <mergeCell ref="E37:F37"/>
    <mergeCell ref="G37:H37"/>
    <mergeCell ref="E38:F38"/>
    <mergeCell ref="G38:H38"/>
    <mergeCell ref="C40:D40"/>
    <mergeCell ref="C41:D41"/>
    <mergeCell ref="C42:D42"/>
    <mergeCell ref="C15:D15"/>
    <mergeCell ref="C16:D16"/>
    <mergeCell ref="C17:D17"/>
    <mergeCell ref="C18:D18"/>
    <mergeCell ref="C19:D19"/>
    <mergeCell ref="E17:F17"/>
    <mergeCell ref="G17:H17"/>
    <mergeCell ref="E20:F20"/>
    <mergeCell ref="G20:H20"/>
    <mergeCell ref="E18:F18"/>
    <mergeCell ref="G18:H18"/>
    <mergeCell ref="E19:F19"/>
    <mergeCell ref="G19:H19"/>
    <mergeCell ref="F50:G50"/>
    <mergeCell ref="E40:F40"/>
    <mergeCell ref="G40:H40"/>
    <mergeCell ref="E42:F42"/>
    <mergeCell ref="G42:H42"/>
    <mergeCell ref="E41:F41"/>
    <mergeCell ref="G41:H41"/>
    <mergeCell ref="F44:G44"/>
    <mergeCell ref="F43:G43"/>
    <mergeCell ref="F46:G46"/>
    <mergeCell ref="F47:G47"/>
    <mergeCell ref="F49:G49"/>
    <mergeCell ref="F45:G45"/>
    <mergeCell ref="C43:E43"/>
    <mergeCell ref="C45:E45"/>
    <mergeCell ref="C47:E47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C20:D20"/>
    <mergeCell ref="E16:F16"/>
    <mergeCell ref="G16:H16"/>
  </mergeCells>
  <pageMargins left="0.23" right="0.19685039370078741" top="0.16" bottom="0.31496062992125984" header="0.16" footer="0.31496062992125984"/>
  <pageSetup paperSize="9"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0"/>
  <sheetViews>
    <sheetView topLeftCell="A10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8.7109375" style="3" customWidth="1"/>
    <col min="3" max="3" width="20.7109375" style="82" customWidth="1"/>
    <col min="4" max="4" width="8.42578125" style="78" customWidth="1"/>
    <col min="5" max="6" width="10" style="78" customWidth="1"/>
    <col min="7" max="7" width="10.42578125" style="3" customWidth="1"/>
    <col min="8" max="8" width="11" style="78" customWidth="1"/>
    <col min="9" max="10" width="10.7109375" style="3" bestFit="1" customWidth="1"/>
    <col min="11" max="11" width="16.28515625" style="3" customWidth="1"/>
    <col min="12" max="12" width="11.28515625" style="3" customWidth="1"/>
    <col min="13" max="13" width="14.28515625" style="185" customWidth="1"/>
    <col min="14" max="14" width="17.140625" style="185" customWidth="1"/>
    <col min="15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4.75" customHeight="1">
      <c r="B3" s="231"/>
      <c r="C3" s="231"/>
      <c r="D3" s="231"/>
      <c r="E3" s="231"/>
      <c r="F3" s="231"/>
      <c r="G3" s="231"/>
      <c r="H3" s="231"/>
      <c r="I3" s="56"/>
    </row>
    <row r="4" spans="2:9" ht="11.25" customHeight="1"/>
    <row r="5" spans="2:9">
      <c r="B5" s="8" t="s">
        <v>0</v>
      </c>
      <c r="C5" s="114"/>
      <c r="D5" s="233" t="s">
        <v>26</v>
      </c>
      <c r="E5" s="233"/>
    </row>
    <row r="6" spans="2:9">
      <c r="B6" s="8" t="s">
        <v>1</v>
      </c>
      <c r="C6" s="114"/>
      <c r="D6" s="217">
        <v>1993</v>
      </c>
      <c r="E6" s="217"/>
    </row>
    <row r="7" spans="2:9" ht="15.75" hidden="1" customHeight="1" outlineLevel="1">
      <c r="B7" s="8" t="s">
        <v>2</v>
      </c>
      <c r="C7" s="114"/>
      <c r="D7" s="217">
        <v>3</v>
      </c>
      <c r="E7" s="217"/>
    </row>
    <row r="8" spans="2:9" ht="15.75" hidden="1" customHeight="1" outlineLevel="1">
      <c r="B8" s="8" t="s">
        <v>3</v>
      </c>
      <c r="C8" s="114"/>
      <c r="D8" s="217">
        <v>18</v>
      </c>
      <c r="E8" s="217"/>
    </row>
    <row r="9" spans="2:9" ht="26.25" hidden="1" customHeight="1" outlineLevel="1">
      <c r="B9" s="111" t="s">
        <v>4</v>
      </c>
      <c r="C9" s="115"/>
      <c r="D9" s="217" t="s">
        <v>27</v>
      </c>
      <c r="E9" s="217"/>
    </row>
    <row r="10" spans="2:9" collapsed="1">
      <c r="B10" s="8" t="s">
        <v>5</v>
      </c>
      <c r="C10" s="114"/>
      <c r="D10" s="217" t="s">
        <v>215</v>
      </c>
      <c r="E10" s="217"/>
      <c r="I10" s="14"/>
    </row>
    <row r="11" spans="2:9" ht="15.75" hidden="1" customHeight="1" outlineLevel="1">
      <c r="B11" s="3" t="s">
        <v>6</v>
      </c>
      <c r="D11" s="216" t="s">
        <v>12</v>
      </c>
      <c r="E11" s="216"/>
    </row>
    <row r="12" spans="2:9" ht="31.5" hidden="1" customHeight="1" outlineLevel="1">
      <c r="B12" s="11" t="s">
        <v>7</v>
      </c>
      <c r="C12" s="55"/>
      <c r="D12" s="87" t="s">
        <v>28</v>
      </c>
      <c r="E12" s="216"/>
      <c r="I12" s="14"/>
    </row>
    <row r="13" spans="2:9" ht="4.5" customHeight="1" collapsed="1">
      <c r="B13" s="11"/>
      <c r="C13" s="55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1.2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>
      <c r="B16" s="88" t="s">
        <v>14</v>
      </c>
      <c r="C16" s="238">
        <v>2239180.2200561436</v>
      </c>
      <c r="D16" s="276"/>
      <c r="E16" s="238">
        <v>1654051.3400561435</v>
      </c>
      <c r="F16" s="276"/>
      <c r="G16" s="238">
        <v>585128.88</v>
      </c>
      <c r="H16" s="280"/>
      <c r="I16" s="14"/>
    </row>
    <row r="17" spans="2:14">
      <c r="B17" s="89" t="s">
        <v>15</v>
      </c>
      <c r="C17" s="235">
        <v>2216531.4300000002</v>
      </c>
      <c r="D17" s="277"/>
      <c r="E17" s="235">
        <v>1636914.0000000002</v>
      </c>
      <c r="F17" s="277"/>
      <c r="G17" s="235">
        <v>579617.42999999993</v>
      </c>
      <c r="H17" s="284"/>
      <c r="I17" s="14"/>
    </row>
    <row r="18" spans="2:14">
      <c r="B18" s="90" t="s">
        <v>176</v>
      </c>
      <c r="C18" s="235">
        <v>2076140.34</v>
      </c>
      <c r="D18" s="277"/>
      <c r="E18" s="235">
        <v>1654051.34</v>
      </c>
      <c r="F18" s="277"/>
      <c r="G18" s="235">
        <v>422089</v>
      </c>
      <c r="H18" s="284"/>
      <c r="I18" s="14"/>
    </row>
    <row r="19" spans="2:14" ht="16.5" thickBot="1">
      <c r="B19" s="91" t="s">
        <v>208</v>
      </c>
      <c r="C19" s="269">
        <v>32400</v>
      </c>
      <c r="D19" s="282"/>
      <c r="E19" s="269">
        <v>32400</v>
      </c>
      <c r="F19" s="282"/>
      <c r="G19" s="269">
        <v>0</v>
      </c>
      <c r="H19" s="287"/>
      <c r="I19" s="14"/>
    </row>
    <row r="20" spans="2:14" ht="25.5" thickBot="1">
      <c r="B20" s="92" t="s">
        <v>274</v>
      </c>
      <c r="C20" s="249">
        <f>E20+G20</f>
        <v>172791.09000000008</v>
      </c>
      <c r="D20" s="275"/>
      <c r="E20" s="251">
        <f>E17+E19-E18</f>
        <v>15262.660000000149</v>
      </c>
      <c r="F20" s="275"/>
      <c r="G20" s="251">
        <f>G17-G18</f>
        <v>157528.42999999993</v>
      </c>
      <c r="H20" s="285"/>
      <c r="I20" s="14"/>
    </row>
    <row r="21" spans="2:14">
      <c r="B21" s="11"/>
      <c r="C21" s="61"/>
      <c r="D21" s="87"/>
      <c r="E21" s="216"/>
      <c r="I21" s="14"/>
    </row>
    <row r="22" spans="2:14" ht="20.25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4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I23" s="15"/>
      <c r="J23" s="15"/>
      <c r="L23" s="14"/>
      <c r="M23" s="289"/>
      <c r="N23" s="289"/>
    </row>
    <row r="24" spans="2:14" ht="4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I24" s="15"/>
      <c r="J24" s="15"/>
      <c r="M24" s="204">
        <v>218628.41</v>
      </c>
      <c r="N24" s="204">
        <f>M24</f>
        <v>218628.41</v>
      </c>
    </row>
    <row r="25" spans="2:14" ht="62.25" customHeight="1">
      <c r="B25" s="18" t="s">
        <v>178</v>
      </c>
      <c r="C25" s="6" t="s">
        <v>205</v>
      </c>
      <c r="D25" s="19" t="s">
        <v>188</v>
      </c>
      <c r="E25" s="93">
        <v>3.43</v>
      </c>
      <c r="F25" s="20">
        <f>$M$24/$M$25*E25</f>
        <v>40122.816816479412</v>
      </c>
      <c r="G25" s="21">
        <f>$N$24/$N$25*E25</f>
        <v>40122.816816479412</v>
      </c>
      <c r="H25" s="22">
        <f>F25-G25</f>
        <v>0</v>
      </c>
      <c r="I25" s="23"/>
      <c r="J25" s="23"/>
      <c r="K25" s="24"/>
      <c r="L25" s="25"/>
      <c r="M25" s="205">
        <f>E34-E32</f>
        <v>18.689999999999998</v>
      </c>
      <c r="N25" s="205">
        <f>E34-E32</f>
        <v>18.689999999999998</v>
      </c>
    </row>
    <row r="26" spans="2:14" ht="57.75" customHeight="1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44450.934082397012</v>
      </c>
      <c r="G26" s="21">
        <f>$N$24/$N$25*E26</f>
        <v>44450.934082397012</v>
      </c>
      <c r="H26" s="22">
        <f t="shared" ref="H26:H31" si="0">F26-G26</f>
        <v>0</v>
      </c>
      <c r="I26" s="23"/>
      <c r="J26" s="23"/>
      <c r="K26" s="2"/>
      <c r="L26" s="2"/>
      <c r="M26" s="186"/>
      <c r="N26" s="186"/>
    </row>
    <row r="27" spans="2:14" ht="63" customHeight="1">
      <c r="B27" s="27" t="s">
        <v>171</v>
      </c>
      <c r="C27" s="6" t="s">
        <v>205</v>
      </c>
      <c r="D27" s="19" t="s">
        <v>188</v>
      </c>
      <c r="E27" s="94">
        <v>0.32</v>
      </c>
      <c r="F27" s="20">
        <f t="shared" ref="F27:F33" si="1">$M$24/$M$25*E27</f>
        <v>3743.2365543071169</v>
      </c>
      <c r="G27" s="21">
        <f t="shared" ref="G27:G30" si="2">$N$24/$N$25*E27</f>
        <v>3743.2365543071169</v>
      </c>
      <c r="H27" s="22">
        <f t="shared" si="0"/>
        <v>0</v>
      </c>
      <c r="I27" s="23"/>
      <c r="J27" s="23"/>
      <c r="L27" s="14"/>
    </row>
    <row r="28" spans="2:14" ht="29.25" customHeight="1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ref="F28" si="3">$M$24/$M$25*E28</f>
        <v>7486.4731086142338</v>
      </c>
      <c r="G28" s="21">
        <f t="shared" ref="G28" si="4">$N$24/$N$25*E28</f>
        <v>7486.4731086142338</v>
      </c>
      <c r="H28" s="22">
        <f t="shared" si="0"/>
        <v>0</v>
      </c>
      <c r="I28" s="23"/>
      <c r="J28" s="23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1.89</v>
      </c>
      <c r="F29" s="20">
        <f t="shared" si="1"/>
        <v>22108.490898876407</v>
      </c>
      <c r="G29" s="21">
        <f t="shared" si="2"/>
        <v>22108.490898876407</v>
      </c>
      <c r="H29" s="22">
        <f t="shared" si="0"/>
        <v>0</v>
      </c>
      <c r="I29" s="23"/>
      <c r="J29" s="23"/>
    </row>
    <row r="30" spans="2:14" ht="208.5" customHeight="1">
      <c r="B30" s="26" t="s">
        <v>202</v>
      </c>
      <c r="C30" s="29" t="s">
        <v>191</v>
      </c>
      <c r="D30" s="19" t="s">
        <v>188</v>
      </c>
      <c r="E30" s="94">
        <v>7.17</v>
      </c>
      <c r="F30" s="20">
        <f t="shared" si="1"/>
        <v>83871.894044943838</v>
      </c>
      <c r="G30" s="21">
        <f t="shared" si="2"/>
        <v>83871.894044943838</v>
      </c>
      <c r="H30" s="22">
        <f t="shared" si="0"/>
        <v>0</v>
      </c>
      <c r="I30" s="23"/>
      <c r="J30" s="23"/>
      <c r="K30" s="2"/>
      <c r="L30" s="1"/>
      <c r="M30" s="186"/>
      <c r="N30" s="186"/>
    </row>
    <row r="31" spans="2:14" ht="122.25" customHeight="1">
      <c r="B31" s="26" t="s">
        <v>192</v>
      </c>
      <c r="C31" s="6" t="s">
        <v>205</v>
      </c>
      <c r="D31" s="19" t="s">
        <v>188</v>
      </c>
      <c r="E31" s="94">
        <v>0.3</v>
      </c>
      <c r="F31" s="20">
        <f t="shared" si="1"/>
        <v>3509.2842696629218</v>
      </c>
      <c r="G31" s="21">
        <f t="shared" ref="G31" si="5">$N$24/$N$25*E31</f>
        <v>3509.2842696629218</v>
      </c>
      <c r="H31" s="22">
        <f t="shared" si="0"/>
        <v>0</v>
      </c>
      <c r="I31" s="23"/>
      <c r="J31" s="23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4.5999999999999996</v>
      </c>
      <c r="F32" s="20">
        <v>53809.03</v>
      </c>
      <c r="G32" s="4">
        <v>4457</v>
      </c>
      <c r="H32" s="22">
        <f>F32-G32</f>
        <v>49352.03</v>
      </c>
      <c r="I32" s="23"/>
      <c r="J32" s="23"/>
      <c r="L32" s="14"/>
    </row>
    <row r="33" spans="2:14" ht="16.5" thickBot="1">
      <c r="B33" s="27" t="s">
        <v>173</v>
      </c>
      <c r="C33" s="49" t="s">
        <v>191</v>
      </c>
      <c r="D33" s="19" t="s">
        <v>188</v>
      </c>
      <c r="E33" s="94">
        <v>1.1399999999999999</v>
      </c>
      <c r="F33" s="20">
        <f t="shared" si="1"/>
        <v>13335.280224719103</v>
      </c>
      <c r="G33" s="21">
        <f t="shared" ref="G33" si="6">$N$24/$N$25*E33</f>
        <v>13335.280224719103</v>
      </c>
      <c r="H33" s="30">
        <f>F33-G33</f>
        <v>0</v>
      </c>
      <c r="I33" s="23"/>
      <c r="J33" s="23"/>
    </row>
    <row r="34" spans="2:14" ht="16.5" thickBot="1">
      <c r="B34" s="62" t="s">
        <v>177</v>
      </c>
      <c r="C34" s="32"/>
      <c r="D34" s="32"/>
      <c r="E34" s="102">
        <f>SUM(E25:E33)</f>
        <v>23.29</v>
      </c>
      <c r="F34" s="33">
        <f>SUM(F25:F33)</f>
        <v>272437.44000000006</v>
      </c>
      <c r="G34" s="34">
        <f>SUM(G25:G33)</f>
        <v>223085.41000000006</v>
      </c>
      <c r="H34" s="35">
        <f>SUM(H25:H33)</f>
        <v>49352.03</v>
      </c>
      <c r="I34" s="36"/>
      <c r="J34" s="36"/>
    </row>
    <row r="35" spans="2:14">
      <c r="B35" s="14"/>
      <c r="C35" s="14"/>
      <c r="D35" s="14"/>
      <c r="E35" s="82"/>
      <c r="F35" s="82"/>
      <c r="G35" s="114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4.2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38"/>
      <c r="J37" s="38"/>
      <c r="K37" s="39"/>
      <c r="L37" s="40"/>
      <c r="M37" s="187"/>
      <c r="N37" s="187"/>
    </row>
    <row r="38" spans="2:14">
      <c r="B38" s="88" t="s">
        <v>14</v>
      </c>
      <c r="C38" s="238">
        <f>E38+G38</f>
        <v>2511617.6600561435</v>
      </c>
      <c r="D38" s="276"/>
      <c r="E38" s="238">
        <f>F25+F26+F27+F28+F29+F30+F31+F33+E16</f>
        <v>1872679.7500561436</v>
      </c>
      <c r="F38" s="276"/>
      <c r="G38" s="238">
        <f>F32+G16</f>
        <v>638937.91</v>
      </c>
      <c r="H38" s="280"/>
      <c r="I38" s="222"/>
      <c r="J38" s="222"/>
      <c r="K38" s="7"/>
      <c r="L38" s="7"/>
      <c r="M38" s="188"/>
    </row>
    <row r="39" spans="2:14">
      <c r="B39" s="89" t="s">
        <v>15</v>
      </c>
      <c r="C39" s="235">
        <f>E39+G39</f>
        <v>2481611.88</v>
      </c>
      <c r="D39" s="277"/>
      <c r="E39" s="235">
        <f>E17+212724.5</f>
        <v>1849638.5000000002</v>
      </c>
      <c r="F39" s="277"/>
      <c r="G39" s="235">
        <f>G17+52355.95</f>
        <v>631973.37999999989</v>
      </c>
      <c r="H39" s="284"/>
      <c r="I39" s="222"/>
      <c r="J39" s="222"/>
      <c r="K39" s="9"/>
      <c r="L39" s="7"/>
      <c r="M39" s="188"/>
    </row>
    <row r="40" spans="2:14">
      <c r="B40" s="90" t="s">
        <v>176</v>
      </c>
      <c r="C40" s="235">
        <f>E40+G40</f>
        <v>2299225.75</v>
      </c>
      <c r="D40" s="277"/>
      <c r="E40" s="235">
        <f>G25+G26+G27+G28+G29+G30+G31+G33+E18</f>
        <v>1872679.7500000002</v>
      </c>
      <c r="F40" s="277"/>
      <c r="G40" s="235">
        <f>G32+G18</f>
        <v>426546</v>
      </c>
      <c r="H40" s="284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82"/>
      <c r="E41" s="269">
        <f>E19+3600</f>
        <v>36000</v>
      </c>
      <c r="F41" s="282"/>
      <c r="G41" s="269">
        <f>G19</f>
        <v>0</v>
      </c>
      <c r="H41" s="287"/>
      <c r="I41" s="222"/>
      <c r="J41" s="222"/>
      <c r="K41" s="41"/>
      <c r="L41" s="41"/>
    </row>
    <row r="42" spans="2:14" ht="25.5" thickBot="1">
      <c r="B42" s="92" t="s">
        <v>275</v>
      </c>
      <c r="C42" s="249">
        <f>E42+G42</f>
        <v>218386.12999999989</v>
      </c>
      <c r="D42" s="275"/>
      <c r="E42" s="251">
        <f>E39+E41-E40</f>
        <v>12958.75</v>
      </c>
      <c r="F42" s="275"/>
      <c r="G42" s="251">
        <f>G39-G40</f>
        <v>205427.37999999989</v>
      </c>
      <c r="H42" s="285"/>
      <c r="I42" s="222"/>
      <c r="J42" s="222"/>
      <c r="K42" s="41"/>
      <c r="L42" s="41"/>
    </row>
    <row r="43" spans="2:14" ht="34.5" customHeight="1">
      <c r="B43" s="219" t="s">
        <v>167</v>
      </c>
      <c r="C43" s="288" t="s">
        <v>284</v>
      </c>
      <c r="D43" s="288"/>
      <c r="E43" s="288"/>
      <c r="F43" s="283" t="s">
        <v>293</v>
      </c>
      <c r="G43" s="283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8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3"/>
    </row>
    <row r="50" spans="2:8">
      <c r="B50" s="46"/>
      <c r="C50" s="46"/>
      <c r="D50" s="46"/>
      <c r="E50" s="220"/>
      <c r="F50" s="268"/>
      <c r="G50" s="268"/>
    </row>
  </sheetData>
  <mergeCells count="61">
    <mergeCell ref="C43:E43"/>
    <mergeCell ref="C45:E45"/>
    <mergeCell ref="C47:E47"/>
    <mergeCell ref="C49:E49"/>
    <mergeCell ref="F50:G50"/>
    <mergeCell ref="F49:G49"/>
    <mergeCell ref="F45:G45"/>
    <mergeCell ref="F43:G43"/>
    <mergeCell ref="F44:G44"/>
    <mergeCell ref="F47:G47"/>
    <mergeCell ref="F46:G46"/>
    <mergeCell ref="C40:D40"/>
    <mergeCell ref="C41:D41"/>
    <mergeCell ref="C42:D42"/>
    <mergeCell ref="M22:M23"/>
    <mergeCell ref="N22:N23"/>
    <mergeCell ref="C37:D37"/>
    <mergeCell ref="C38:D38"/>
    <mergeCell ref="C39:D39"/>
    <mergeCell ref="E41:F41"/>
    <mergeCell ref="G41:H41"/>
    <mergeCell ref="E42:F42"/>
    <mergeCell ref="G42:H42"/>
    <mergeCell ref="B36:H36"/>
    <mergeCell ref="E37:F37"/>
    <mergeCell ref="G37:H37"/>
    <mergeCell ref="E38:F38"/>
    <mergeCell ref="C15:D15"/>
    <mergeCell ref="C16:D16"/>
    <mergeCell ref="C17:D17"/>
    <mergeCell ref="C18:D18"/>
    <mergeCell ref="C19:D19"/>
    <mergeCell ref="E17:F17"/>
    <mergeCell ref="G17:H17"/>
    <mergeCell ref="E20:F20"/>
    <mergeCell ref="G20:H20"/>
    <mergeCell ref="E18:F18"/>
    <mergeCell ref="G18:H18"/>
    <mergeCell ref="E19:F19"/>
    <mergeCell ref="G19:H19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  <mergeCell ref="C20:D20"/>
    <mergeCell ref="E16:F16"/>
    <mergeCell ref="G16:H16"/>
    <mergeCell ref="G38:H38"/>
    <mergeCell ref="E39:F39"/>
    <mergeCell ref="G39:H39"/>
    <mergeCell ref="E40:F40"/>
    <mergeCell ref="G40:H40"/>
  </mergeCells>
  <pageMargins left="0.2" right="0.19685039370078741" top="0.32" bottom="0.31496062992125984" header="0.31496062992125984" footer="0.31496062992125984"/>
  <pageSetup paperSize="9"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Q48"/>
  <sheetViews>
    <sheetView topLeftCell="A31" zoomScale="110" zoomScaleNormal="110" workbookViewId="0">
      <selection activeCell="B1" sqref="B1:H47"/>
    </sheetView>
  </sheetViews>
  <sheetFormatPr defaultColWidth="9.140625" defaultRowHeight="15.75" outlineLevelRow="1"/>
  <cols>
    <col min="1" max="1" width="2.85546875" style="3" customWidth="1"/>
    <col min="2" max="2" width="57.42578125" style="3" customWidth="1"/>
    <col min="3" max="3" width="19.42578125" style="82" customWidth="1"/>
    <col min="4" max="4" width="8.5703125" style="78" customWidth="1"/>
    <col min="5" max="5" width="11.28515625" style="78" customWidth="1"/>
    <col min="6" max="6" width="9.7109375" style="78" customWidth="1"/>
    <col min="7" max="7" width="10.42578125" style="3" customWidth="1"/>
    <col min="8" max="8" width="10.5703125" style="78" customWidth="1"/>
    <col min="9" max="9" width="12.7109375" style="3" customWidth="1"/>
    <col min="10" max="10" width="9.5703125" style="3" bestFit="1" customWidth="1"/>
    <col min="11" max="11" width="13.85546875" style="125" customWidth="1"/>
    <col min="12" max="12" width="11.5703125" style="125" customWidth="1"/>
    <col min="13" max="13" width="15.28515625" style="185" customWidth="1"/>
    <col min="14" max="14" width="16" style="185" customWidth="1"/>
    <col min="15" max="17" width="9.140625" style="125"/>
    <col min="18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4" customHeight="1">
      <c r="B3" s="231"/>
      <c r="C3" s="231"/>
      <c r="D3" s="231"/>
      <c r="E3" s="231"/>
      <c r="F3" s="231"/>
      <c r="G3" s="231"/>
      <c r="H3" s="231"/>
      <c r="I3" s="56"/>
    </row>
    <row r="4" spans="2:9" ht="12.75" customHeight="1"/>
    <row r="5" spans="2:9">
      <c r="B5" s="8" t="s">
        <v>0</v>
      </c>
      <c r="C5" s="114"/>
      <c r="D5" s="233" t="s">
        <v>29</v>
      </c>
      <c r="E5" s="233"/>
    </row>
    <row r="6" spans="2:9">
      <c r="B6" s="8" t="s">
        <v>1</v>
      </c>
      <c r="C6" s="114"/>
      <c r="D6" s="217">
        <v>1959</v>
      </c>
      <c r="E6" s="217"/>
    </row>
    <row r="7" spans="2:9" hidden="1" outlineLevel="1">
      <c r="B7" s="8" t="s">
        <v>2</v>
      </c>
      <c r="C7" s="114"/>
      <c r="D7" s="217">
        <v>2</v>
      </c>
      <c r="E7" s="217"/>
    </row>
    <row r="8" spans="2:9" hidden="1" outlineLevel="1">
      <c r="B8" s="8" t="s">
        <v>3</v>
      </c>
      <c r="C8" s="114"/>
      <c r="D8" s="217">
        <v>15</v>
      </c>
      <c r="E8" s="217"/>
    </row>
    <row r="9" spans="2:9" ht="26.25" hidden="1" outlineLevel="1">
      <c r="B9" s="111" t="s">
        <v>4</v>
      </c>
      <c r="C9" s="115"/>
      <c r="D9" s="217" t="s">
        <v>30</v>
      </c>
      <c r="E9" s="217"/>
    </row>
    <row r="10" spans="2:9" collapsed="1">
      <c r="B10" s="8" t="s">
        <v>5</v>
      </c>
      <c r="C10" s="114"/>
      <c r="D10" s="217" t="s">
        <v>216</v>
      </c>
      <c r="E10" s="217"/>
      <c r="I10" s="14"/>
    </row>
    <row r="11" spans="2:9" hidden="1" outlineLevel="1">
      <c r="B11" s="3" t="s">
        <v>6</v>
      </c>
      <c r="D11" s="216" t="s">
        <v>31</v>
      </c>
      <c r="E11" s="216"/>
    </row>
    <row r="12" spans="2:9" ht="31.5" hidden="1" customHeight="1" outlineLevel="1">
      <c r="B12" s="11" t="s">
        <v>7</v>
      </c>
      <c r="C12" s="55"/>
      <c r="D12" s="87" t="s">
        <v>32</v>
      </c>
      <c r="E12" s="216"/>
      <c r="I12" s="14"/>
    </row>
    <row r="13" spans="2:9" collapsed="1">
      <c r="B13" s="11"/>
      <c r="C13" s="55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5.7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>
      <c r="B16" s="88" t="s">
        <v>14</v>
      </c>
      <c r="C16" s="238">
        <v>1134441.55</v>
      </c>
      <c r="D16" s="273"/>
      <c r="E16" s="238">
        <v>842063.29741463426</v>
      </c>
      <c r="F16" s="273"/>
      <c r="G16" s="263">
        <v>292378.25258536584</v>
      </c>
      <c r="H16" s="265"/>
      <c r="I16" s="14"/>
    </row>
    <row r="17" spans="2:15">
      <c r="B17" s="89" t="s">
        <v>15</v>
      </c>
      <c r="C17" s="235">
        <v>1096069.8299999998</v>
      </c>
      <c r="D17" s="236"/>
      <c r="E17" s="235">
        <v>813938.87471544696</v>
      </c>
      <c r="F17" s="236"/>
      <c r="G17" s="235">
        <v>282130.95528455282</v>
      </c>
      <c r="H17" s="237"/>
      <c r="I17" s="14"/>
    </row>
    <row r="18" spans="2:15" ht="16.5" thickBot="1">
      <c r="B18" s="90" t="s">
        <v>176</v>
      </c>
      <c r="C18" s="235">
        <v>1132947.3</v>
      </c>
      <c r="D18" s="236"/>
      <c r="E18" s="235">
        <v>842063.3</v>
      </c>
      <c r="F18" s="236"/>
      <c r="G18" s="260">
        <v>290884</v>
      </c>
      <c r="H18" s="262"/>
      <c r="I18" s="14"/>
    </row>
    <row r="19" spans="2:15" ht="27" customHeight="1" thickBot="1">
      <c r="B19" s="92" t="s">
        <v>274</v>
      </c>
      <c r="C19" s="249">
        <f>E19+G19</f>
        <v>-36877.470000000263</v>
      </c>
      <c r="D19" s="250"/>
      <c r="E19" s="251">
        <f>E17-E18</f>
        <v>-28124.425284553086</v>
      </c>
      <c r="F19" s="252"/>
      <c r="G19" s="251">
        <f>G17-G18</f>
        <v>-8753.0447154471767</v>
      </c>
      <c r="H19" s="253"/>
      <c r="I19" s="14"/>
    </row>
    <row r="20" spans="2:15">
      <c r="B20" s="11"/>
      <c r="C20" s="61"/>
      <c r="D20" s="87"/>
      <c r="E20" s="216"/>
      <c r="I20" s="14"/>
    </row>
    <row r="21" spans="2:15" ht="18" customHeight="1" thickBot="1">
      <c r="B21" s="254" t="s">
        <v>302</v>
      </c>
      <c r="C21" s="254"/>
      <c r="D21" s="254"/>
      <c r="E21" s="254"/>
      <c r="F21" s="254"/>
      <c r="G21" s="254"/>
      <c r="H21" s="254"/>
      <c r="I21" s="13"/>
      <c r="J21" s="13"/>
      <c r="L21" s="131"/>
      <c r="M21" s="241" t="s">
        <v>278</v>
      </c>
      <c r="N21" s="241" t="s">
        <v>279</v>
      </c>
    </row>
    <row r="22" spans="2:15" ht="35.25" customHeight="1">
      <c r="B22" s="243" t="s">
        <v>183</v>
      </c>
      <c r="C22" s="245" t="s">
        <v>184</v>
      </c>
      <c r="D22" s="245" t="s">
        <v>185</v>
      </c>
      <c r="E22" s="247" t="s">
        <v>303</v>
      </c>
      <c r="F22" s="255" t="s">
        <v>186</v>
      </c>
      <c r="G22" s="256"/>
      <c r="H22" s="257" t="s">
        <v>209</v>
      </c>
      <c r="I22" s="15"/>
      <c r="J22" s="15"/>
      <c r="L22" s="131"/>
      <c r="M22" s="242"/>
      <c r="N22" s="242"/>
    </row>
    <row r="23" spans="2:15" ht="45" customHeight="1" thickBot="1">
      <c r="B23" s="244"/>
      <c r="C23" s="246"/>
      <c r="D23" s="246"/>
      <c r="E23" s="248"/>
      <c r="F23" s="16" t="s">
        <v>174</v>
      </c>
      <c r="G23" s="17" t="s">
        <v>175</v>
      </c>
      <c r="H23" s="258"/>
      <c r="I23" s="15"/>
      <c r="J23" s="15"/>
      <c r="M23" s="204">
        <v>83466.41</v>
      </c>
      <c r="N23" s="204">
        <f>M23</f>
        <v>83466.41</v>
      </c>
    </row>
    <row r="24" spans="2:15" ht="61.5" customHeight="1">
      <c r="B24" s="18" t="s">
        <v>178</v>
      </c>
      <c r="C24" s="6" t="s">
        <v>205</v>
      </c>
      <c r="D24" s="19" t="s">
        <v>188</v>
      </c>
      <c r="E24" s="93">
        <v>3.43</v>
      </c>
      <c r="F24" s="20">
        <f>$M$23/$M$24*E24</f>
        <v>15107.640437994727</v>
      </c>
      <c r="G24" s="21">
        <f>$N$23/$N$24*E24</f>
        <v>15107.640437994727</v>
      </c>
      <c r="H24" s="22">
        <f>F24-G24</f>
        <v>0</v>
      </c>
      <c r="I24" s="23"/>
      <c r="J24" s="23"/>
      <c r="K24" s="148"/>
      <c r="L24" s="149"/>
      <c r="M24" s="205">
        <f>E33-E31</f>
        <v>18.949999999999996</v>
      </c>
      <c r="N24" s="205">
        <f>E33-E31</f>
        <v>18.949999999999996</v>
      </c>
      <c r="O24" s="131"/>
    </row>
    <row r="25" spans="2:15" ht="61.5" customHeight="1">
      <c r="B25" s="26" t="s">
        <v>189</v>
      </c>
      <c r="C25" s="6" t="s">
        <v>205</v>
      </c>
      <c r="D25" s="19" t="s">
        <v>188</v>
      </c>
      <c r="E25" s="94">
        <v>3.8</v>
      </c>
      <c r="F25" s="20">
        <f t="shared" ref="F25:F32" si="0">$M$23/$M$24*E25</f>
        <v>16737.327598944594</v>
      </c>
      <c r="G25" s="21">
        <f t="shared" ref="G25:G30" si="1">$N$23/$N$24*E25</f>
        <v>16737.327598944594</v>
      </c>
      <c r="H25" s="22">
        <f t="shared" ref="H25:H30" si="2">F25-G25</f>
        <v>0</v>
      </c>
      <c r="I25" s="23"/>
      <c r="J25" s="23"/>
      <c r="K25" s="154"/>
      <c r="L25" s="127"/>
      <c r="M25" s="188"/>
      <c r="N25" s="188"/>
      <c r="O25" s="197"/>
    </row>
    <row r="26" spans="2:15" ht="66.75" customHeight="1">
      <c r="B26" s="27" t="s">
        <v>171</v>
      </c>
      <c r="C26" s="6" t="s">
        <v>205</v>
      </c>
      <c r="D26" s="19" t="s">
        <v>188</v>
      </c>
      <c r="E26" s="94">
        <v>0.32</v>
      </c>
      <c r="F26" s="20">
        <f t="shared" si="0"/>
        <v>1409.4591662269133</v>
      </c>
      <c r="G26" s="21">
        <f t="shared" si="1"/>
        <v>1409.4591662269133</v>
      </c>
      <c r="H26" s="22">
        <f t="shared" si="2"/>
        <v>0</v>
      </c>
      <c r="I26" s="23"/>
      <c r="J26" s="23"/>
      <c r="L26" s="127"/>
      <c r="M26" s="193"/>
      <c r="N26" s="193"/>
      <c r="O26" s="127"/>
    </row>
    <row r="27" spans="2:15" ht="29.25" customHeight="1">
      <c r="B27" s="27" t="s">
        <v>172</v>
      </c>
      <c r="C27" s="28" t="s">
        <v>190</v>
      </c>
      <c r="D27" s="19" t="s">
        <v>188</v>
      </c>
      <c r="E27" s="94">
        <v>0.64</v>
      </c>
      <c r="F27" s="20">
        <f t="shared" si="0"/>
        <v>2818.9183324538267</v>
      </c>
      <c r="G27" s="21">
        <f t="shared" si="1"/>
        <v>2818.9183324538267</v>
      </c>
      <c r="H27" s="22">
        <f t="shared" si="2"/>
        <v>0</v>
      </c>
      <c r="I27" s="23"/>
      <c r="J27" s="23"/>
      <c r="L27" s="197"/>
      <c r="M27" s="188"/>
      <c r="N27" s="188"/>
      <c r="O27" s="197"/>
    </row>
    <row r="28" spans="2:15" ht="51">
      <c r="B28" s="26" t="s">
        <v>179</v>
      </c>
      <c r="C28" s="29" t="s">
        <v>211</v>
      </c>
      <c r="D28" s="19" t="s">
        <v>188</v>
      </c>
      <c r="E28" s="94">
        <v>1.89</v>
      </c>
      <c r="F28" s="20">
        <f t="shared" si="0"/>
        <v>8324.618200527706</v>
      </c>
      <c r="G28" s="21">
        <f t="shared" si="1"/>
        <v>8324.618200527706</v>
      </c>
      <c r="H28" s="22">
        <f t="shared" si="2"/>
        <v>0</v>
      </c>
      <c r="I28" s="23"/>
      <c r="J28" s="23"/>
    </row>
    <row r="29" spans="2:15" ht="212.25" customHeight="1">
      <c r="B29" s="26" t="s">
        <v>202</v>
      </c>
      <c r="C29" s="29" t="s">
        <v>191</v>
      </c>
      <c r="D29" s="19" t="s">
        <v>188</v>
      </c>
      <c r="E29" s="94">
        <v>7.17</v>
      </c>
      <c r="F29" s="20">
        <f t="shared" si="0"/>
        <v>31580.694443271776</v>
      </c>
      <c r="G29" s="21">
        <f t="shared" si="1"/>
        <v>31580.694443271776</v>
      </c>
      <c r="H29" s="22">
        <f t="shared" si="2"/>
        <v>0</v>
      </c>
      <c r="I29" s="23"/>
      <c r="J29" s="23"/>
      <c r="K29" s="154"/>
      <c r="L29" s="159"/>
      <c r="M29" s="186"/>
      <c r="N29" s="186"/>
    </row>
    <row r="30" spans="2:15" ht="111" customHeight="1">
      <c r="B30" s="26" t="s">
        <v>192</v>
      </c>
      <c r="C30" s="6" t="s">
        <v>205</v>
      </c>
      <c r="D30" s="19" t="s">
        <v>188</v>
      </c>
      <c r="E30" s="94">
        <v>0.3</v>
      </c>
      <c r="F30" s="20">
        <f t="shared" si="0"/>
        <v>1321.3679683377311</v>
      </c>
      <c r="G30" s="21">
        <f t="shared" si="1"/>
        <v>1321.3679683377311</v>
      </c>
      <c r="H30" s="22">
        <f t="shared" si="2"/>
        <v>0</v>
      </c>
      <c r="I30" s="23"/>
      <c r="J30" s="23"/>
    </row>
    <row r="31" spans="2:15" ht="56.25" customHeight="1">
      <c r="B31" s="27" t="s">
        <v>193</v>
      </c>
      <c r="C31" s="6" t="s">
        <v>205</v>
      </c>
      <c r="D31" s="19" t="s">
        <v>188</v>
      </c>
      <c r="E31" s="94">
        <v>4.5999999999999996</v>
      </c>
      <c r="F31" s="20">
        <v>20260.98</v>
      </c>
      <c r="G31" s="4">
        <v>22511</v>
      </c>
      <c r="H31" s="22">
        <f>F31-G31</f>
        <v>-2250.0200000000004</v>
      </c>
      <c r="I31" s="23"/>
      <c r="J31" s="23"/>
      <c r="L31" s="131"/>
    </row>
    <row r="32" spans="2:15" ht="16.5" thickBot="1">
      <c r="B32" s="48" t="s">
        <v>173</v>
      </c>
      <c r="C32" s="49" t="s">
        <v>191</v>
      </c>
      <c r="D32" s="50" t="s">
        <v>188</v>
      </c>
      <c r="E32" s="98">
        <v>1.4</v>
      </c>
      <c r="F32" s="20">
        <f t="shared" si="0"/>
        <v>6166.383852242745</v>
      </c>
      <c r="G32" s="21">
        <f t="shared" ref="G32" si="3">$N$23/$N$24*E32</f>
        <v>6166.383852242745</v>
      </c>
      <c r="H32" s="30">
        <f>F32-G32</f>
        <v>0</v>
      </c>
      <c r="I32" s="23"/>
      <c r="J32" s="23"/>
    </row>
    <row r="33" spans="2:14" ht="16.5" thickBot="1">
      <c r="B33" s="63" t="s">
        <v>177</v>
      </c>
      <c r="C33" s="52"/>
      <c r="D33" s="52"/>
      <c r="E33" s="96">
        <f>SUM(E24:E32)</f>
        <v>23.549999999999997</v>
      </c>
      <c r="F33" s="53">
        <f>SUM(F24:F32)</f>
        <v>103727.39</v>
      </c>
      <c r="G33" s="54">
        <f>SUM(G24:G32)</f>
        <v>105977.41</v>
      </c>
      <c r="H33" s="35">
        <f>SUM(H24:H32)</f>
        <v>-2250.0200000000004</v>
      </c>
      <c r="I33" s="36"/>
      <c r="J33" s="36"/>
    </row>
    <row r="34" spans="2:14">
      <c r="B34" s="14"/>
      <c r="C34" s="14"/>
      <c r="D34" s="14"/>
      <c r="E34" s="82"/>
      <c r="F34" s="82"/>
      <c r="G34" s="82"/>
      <c r="I34" s="78"/>
      <c r="J34" s="78"/>
    </row>
    <row r="35" spans="2:14" ht="16.5" customHeight="1" thickBot="1">
      <c r="B35" s="234" t="s">
        <v>304</v>
      </c>
      <c r="C35" s="234"/>
      <c r="D35" s="234"/>
      <c r="E35" s="234"/>
      <c r="F35" s="234"/>
      <c r="G35" s="234"/>
      <c r="H35" s="234"/>
      <c r="I35" s="37"/>
      <c r="J35" s="37"/>
    </row>
    <row r="36" spans="2:14" ht="44.25" customHeight="1" thickBot="1">
      <c r="B36" s="202" t="s">
        <v>305</v>
      </c>
      <c r="C36" s="225" t="s">
        <v>194</v>
      </c>
      <c r="D36" s="226"/>
      <c r="E36" s="227" t="s">
        <v>8</v>
      </c>
      <c r="F36" s="228"/>
      <c r="G36" s="227" t="s">
        <v>9</v>
      </c>
      <c r="H36" s="229"/>
      <c r="I36" s="38"/>
      <c r="J36" s="38"/>
      <c r="K36" s="175"/>
      <c r="L36" s="176"/>
      <c r="M36" s="187"/>
      <c r="N36" s="187"/>
    </row>
    <row r="37" spans="2:14">
      <c r="B37" s="88" t="s">
        <v>14</v>
      </c>
      <c r="C37" s="238">
        <f>E37+G37</f>
        <v>1238168.9400000002</v>
      </c>
      <c r="D37" s="239"/>
      <c r="E37" s="263">
        <f>F24+F25+F26+F27+F28+F29+F30+F32+E16</f>
        <v>925529.70741463429</v>
      </c>
      <c r="F37" s="264"/>
      <c r="G37" s="263">
        <f>F31+G16</f>
        <v>312639.23258536583</v>
      </c>
      <c r="H37" s="265"/>
      <c r="I37" s="222"/>
      <c r="J37" s="222"/>
      <c r="K37" s="179"/>
      <c r="L37" s="179"/>
      <c r="M37" s="188"/>
    </row>
    <row r="38" spans="2:14">
      <c r="B38" s="89" t="s">
        <v>15</v>
      </c>
      <c r="C38" s="235">
        <f>E38+G38</f>
        <v>1271300.5299999998</v>
      </c>
      <c r="D38" s="236"/>
      <c r="E38" s="235">
        <f>E17+141003.05</f>
        <v>954941.92471544701</v>
      </c>
      <c r="F38" s="236"/>
      <c r="G38" s="235">
        <f>G17+34227.65</f>
        <v>316358.60528455285</v>
      </c>
      <c r="H38" s="237"/>
      <c r="I38" s="222"/>
      <c r="J38" s="222"/>
      <c r="K38" s="180"/>
      <c r="L38" s="179"/>
      <c r="M38" s="188"/>
    </row>
    <row r="39" spans="2:14" ht="16.5" thickBot="1">
      <c r="B39" s="90" t="s">
        <v>176</v>
      </c>
      <c r="C39" s="269">
        <f>E39+G39</f>
        <v>1238924.71</v>
      </c>
      <c r="D39" s="270"/>
      <c r="E39" s="260">
        <f>G24+G25+G26+G27+G28+G29+G30+G32+E18</f>
        <v>925529.71000000008</v>
      </c>
      <c r="F39" s="261"/>
      <c r="G39" s="260">
        <f>G31+G18</f>
        <v>313395</v>
      </c>
      <c r="H39" s="262"/>
      <c r="I39" s="222"/>
      <c r="J39" s="222"/>
      <c r="K39" s="156"/>
      <c r="L39" s="156"/>
    </row>
    <row r="40" spans="2:14" ht="25.5" thickBot="1">
      <c r="B40" s="92" t="s">
        <v>275</v>
      </c>
      <c r="C40" s="249">
        <f>E40+G40</f>
        <v>32375.819999999774</v>
      </c>
      <c r="D40" s="250"/>
      <c r="E40" s="251">
        <f>E38-E39</f>
        <v>29412.214715446928</v>
      </c>
      <c r="F40" s="252"/>
      <c r="G40" s="251">
        <f>G38-G39</f>
        <v>2963.6052845528466</v>
      </c>
      <c r="H40" s="253"/>
      <c r="I40" s="222"/>
      <c r="J40" s="222"/>
      <c r="K40" s="156"/>
      <c r="L40" s="156"/>
    </row>
    <row r="41" spans="2:14" ht="34.5" customHeight="1">
      <c r="B41" s="219" t="s">
        <v>167</v>
      </c>
      <c r="C41" s="266" t="s">
        <v>284</v>
      </c>
      <c r="D41" s="266"/>
      <c r="E41" s="266"/>
      <c r="F41" s="267" t="s">
        <v>293</v>
      </c>
      <c r="G41" s="267"/>
      <c r="H41" s="219"/>
      <c r="I41" s="219"/>
      <c r="J41" s="219"/>
      <c r="K41" s="154"/>
      <c r="L41" s="154"/>
      <c r="M41" s="186"/>
      <c r="N41" s="186"/>
    </row>
    <row r="42" spans="2:14" ht="11.25" customHeight="1">
      <c r="B42" s="219"/>
      <c r="C42" s="219"/>
      <c r="D42" s="219"/>
      <c r="E42" s="220"/>
      <c r="F42" s="259"/>
      <c r="G42" s="259"/>
      <c r="H42" s="218"/>
      <c r="I42" s="218"/>
      <c r="J42" s="218"/>
      <c r="K42" s="154"/>
      <c r="L42" s="154"/>
      <c r="M42" s="186"/>
      <c r="N42" s="186"/>
    </row>
    <row r="43" spans="2:14">
      <c r="B43" s="219" t="s">
        <v>168</v>
      </c>
      <c r="C43" s="266" t="s">
        <v>284</v>
      </c>
      <c r="D43" s="266"/>
      <c r="E43" s="266"/>
      <c r="F43" s="267" t="s">
        <v>195</v>
      </c>
      <c r="G43" s="267"/>
      <c r="H43" s="219"/>
      <c r="I43" s="219"/>
      <c r="J43" s="219"/>
      <c r="K43" s="154"/>
      <c r="L43" s="154"/>
      <c r="M43" s="186"/>
      <c r="N43" s="186"/>
    </row>
    <row r="44" spans="2:14" ht="9.75" customHeight="1">
      <c r="B44" s="219"/>
      <c r="C44" s="219"/>
      <c r="D44" s="219"/>
      <c r="E44" s="220"/>
      <c r="F44" s="267"/>
      <c r="G44" s="267"/>
      <c r="H44" s="219"/>
      <c r="I44" s="219"/>
      <c r="J44" s="219"/>
    </row>
    <row r="45" spans="2:14">
      <c r="B45" s="219" t="s">
        <v>169</v>
      </c>
      <c r="C45" s="266" t="s">
        <v>284</v>
      </c>
      <c r="D45" s="266"/>
      <c r="E45" s="266"/>
      <c r="F45" s="267" t="s">
        <v>294</v>
      </c>
      <c r="G45" s="267"/>
      <c r="H45" s="219"/>
      <c r="I45" s="219"/>
      <c r="J45" s="219"/>
    </row>
    <row r="46" spans="2:14" ht="8.25" customHeight="1">
      <c r="B46" s="42"/>
      <c r="C46" s="42"/>
      <c r="D46" s="42"/>
      <c r="E46" s="220"/>
      <c r="F46" s="43"/>
      <c r="G46" s="44"/>
      <c r="H46" s="45"/>
      <c r="I46" s="45"/>
      <c r="J46" s="45"/>
    </row>
    <row r="47" spans="2:14">
      <c r="B47" s="219" t="s">
        <v>170</v>
      </c>
      <c r="C47" s="266" t="s">
        <v>284</v>
      </c>
      <c r="D47" s="266"/>
      <c r="E47" s="266"/>
      <c r="F47" s="267" t="s">
        <v>294</v>
      </c>
      <c r="G47" s="267"/>
      <c r="H47" s="3"/>
    </row>
    <row r="48" spans="2:14" ht="8.25" customHeight="1">
      <c r="E48" s="220"/>
    </row>
  </sheetData>
  <mergeCells count="54">
    <mergeCell ref="C43:E43"/>
    <mergeCell ref="C45:E45"/>
    <mergeCell ref="C47:E47"/>
    <mergeCell ref="M21:M22"/>
    <mergeCell ref="N21:N22"/>
    <mergeCell ref="C36:D36"/>
    <mergeCell ref="C37:D37"/>
    <mergeCell ref="C38:D38"/>
    <mergeCell ref="F42:G42"/>
    <mergeCell ref="F43:G43"/>
    <mergeCell ref="F44:G44"/>
    <mergeCell ref="F45:G45"/>
    <mergeCell ref="F47:G47"/>
    <mergeCell ref="F41:G41"/>
    <mergeCell ref="E40:F40"/>
    <mergeCell ref="G40:H40"/>
    <mergeCell ref="C15:D15"/>
    <mergeCell ref="C16:D16"/>
    <mergeCell ref="C17:D17"/>
    <mergeCell ref="C18:D18"/>
    <mergeCell ref="C19:D19"/>
    <mergeCell ref="G18:H18"/>
    <mergeCell ref="E16:F16"/>
    <mergeCell ref="G16:H16"/>
    <mergeCell ref="E17:F17"/>
    <mergeCell ref="G17:H17"/>
    <mergeCell ref="E18:F18"/>
    <mergeCell ref="C40:D40"/>
    <mergeCell ref="B35:H35"/>
    <mergeCell ref="E36:F36"/>
    <mergeCell ref="G36:H36"/>
    <mergeCell ref="E37:F37"/>
    <mergeCell ref="G37:H37"/>
    <mergeCell ref="E38:F38"/>
    <mergeCell ref="G38:H38"/>
    <mergeCell ref="E39:F39"/>
    <mergeCell ref="G39:H39"/>
    <mergeCell ref="C39:D39"/>
    <mergeCell ref="C41:E41"/>
    <mergeCell ref="B1:H1"/>
    <mergeCell ref="B2:H3"/>
    <mergeCell ref="B21:H21"/>
    <mergeCell ref="B22:B23"/>
    <mergeCell ref="C22:C23"/>
    <mergeCell ref="D22:D23"/>
    <mergeCell ref="E22:E23"/>
    <mergeCell ref="F22:G22"/>
    <mergeCell ref="H22:H23"/>
    <mergeCell ref="D5:E5"/>
    <mergeCell ref="B14:H14"/>
    <mergeCell ref="E15:F15"/>
    <mergeCell ref="G15:H15"/>
    <mergeCell ref="E19:F19"/>
    <mergeCell ref="G19:H19"/>
  </mergeCells>
  <pageMargins left="0.41" right="0.19685039370078741" top="0.16" bottom="0.23622047244094491" header="0.53" footer="0.25"/>
  <pageSetup paperSize="9" scale="4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N52"/>
  <sheetViews>
    <sheetView topLeftCell="A32" zoomScale="110" zoomScaleNormal="110" workbookViewId="0">
      <selection activeCell="B1" sqref="B1:H49"/>
    </sheetView>
  </sheetViews>
  <sheetFormatPr defaultColWidth="9.140625" defaultRowHeight="15.75" outlineLevelRow="1"/>
  <cols>
    <col min="1" max="1" width="2.85546875" style="3" customWidth="1"/>
    <col min="2" max="2" width="56.7109375" style="3" customWidth="1"/>
    <col min="3" max="3" width="22" style="60" customWidth="1"/>
    <col min="4" max="4" width="8.85546875" style="78" customWidth="1"/>
    <col min="5" max="5" width="9.85546875" style="78" customWidth="1"/>
    <col min="6" max="6" width="10" style="78" customWidth="1"/>
    <col min="7" max="7" width="10.28515625" style="3" customWidth="1"/>
    <col min="8" max="8" width="10.85546875" style="78" customWidth="1"/>
    <col min="9" max="9" width="10.7109375" style="3" bestFit="1" customWidth="1"/>
    <col min="10" max="10" width="11.28515625" style="3" customWidth="1"/>
    <col min="11" max="11" width="13.85546875" style="3" customWidth="1"/>
    <col min="12" max="12" width="12.28515625" style="3" customWidth="1"/>
    <col min="13" max="13" width="16.5703125" style="185" customWidth="1"/>
    <col min="14" max="14" width="15" style="185" customWidth="1"/>
    <col min="15" max="16384" width="9.140625" style="3"/>
  </cols>
  <sheetData>
    <row r="1" spans="2:9">
      <c r="B1" s="272" t="s">
        <v>196</v>
      </c>
      <c r="C1" s="272"/>
      <c r="D1" s="272"/>
      <c r="E1" s="272"/>
      <c r="F1" s="272"/>
      <c r="G1" s="272"/>
      <c r="H1" s="272"/>
    </row>
    <row r="2" spans="2:9" ht="15.75" customHeight="1">
      <c r="B2" s="231" t="s">
        <v>306</v>
      </c>
      <c r="C2" s="231"/>
      <c r="D2" s="231"/>
      <c r="E2" s="231"/>
      <c r="F2" s="231"/>
      <c r="G2" s="231"/>
      <c r="H2" s="231"/>
      <c r="I2" s="56"/>
    </row>
    <row r="3" spans="2:9" ht="24" customHeight="1">
      <c r="B3" s="231"/>
      <c r="C3" s="231"/>
      <c r="D3" s="231"/>
      <c r="E3" s="231"/>
      <c r="F3" s="231"/>
      <c r="G3" s="231"/>
      <c r="H3" s="231"/>
      <c r="I3" s="56"/>
    </row>
    <row r="4" spans="2:9" ht="12.75" customHeight="1"/>
    <row r="5" spans="2:9">
      <c r="B5" s="8" t="s">
        <v>0</v>
      </c>
      <c r="C5" s="116"/>
      <c r="D5" s="233" t="s">
        <v>33</v>
      </c>
      <c r="E5" s="233"/>
    </row>
    <row r="6" spans="2:9">
      <c r="B6" s="8" t="s">
        <v>1</v>
      </c>
      <c r="C6" s="116"/>
      <c r="D6" s="217">
        <v>1959</v>
      </c>
      <c r="E6" s="217"/>
    </row>
    <row r="7" spans="2:9" hidden="1" outlineLevel="1">
      <c r="B7" s="8" t="s">
        <v>2</v>
      </c>
      <c r="C7" s="116"/>
      <c r="D7" s="217">
        <v>2</v>
      </c>
      <c r="E7" s="217"/>
    </row>
    <row r="8" spans="2:9" hidden="1" outlineLevel="1">
      <c r="B8" s="8" t="s">
        <v>3</v>
      </c>
      <c r="C8" s="116"/>
      <c r="D8" s="217">
        <v>16</v>
      </c>
      <c r="E8" s="217"/>
    </row>
    <row r="9" spans="2:9" ht="26.25" hidden="1" outlineLevel="1">
      <c r="B9" s="111" t="s">
        <v>4</v>
      </c>
      <c r="C9" s="117"/>
      <c r="D9" s="217" t="s">
        <v>34</v>
      </c>
      <c r="E9" s="217"/>
    </row>
    <row r="10" spans="2:9" collapsed="1">
      <c r="B10" s="8" t="s">
        <v>5</v>
      </c>
      <c r="C10" s="116"/>
      <c r="D10" s="217" t="s">
        <v>217</v>
      </c>
      <c r="E10" s="217"/>
      <c r="I10" s="14"/>
    </row>
    <row r="11" spans="2:9" hidden="1" outlineLevel="1">
      <c r="B11" s="3" t="s">
        <v>6</v>
      </c>
      <c r="D11" s="216" t="s">
        <v>12</v>
      </c>
      <c r="E11" s="216"/>
    </row>
    <row r="12" spans="2:9" ht="31.5" hidden="1" customHeight="1" outlineLevel="1">
      <c r="B12" s="11" t="s">
        <v>7</v>
      </c>
      <c r="C12" s="61"/>
      <c r="D12" s="87" t="s">
        <v>35</v>
      </c>
      <c r="E12" s="216"/>
      <c r="I12" s="14"/>
    </row>
    <row r="13" spans="2:9" collapsed="1">
      <c r="B13" s="11"/>
      <c r="C13" s="61"/>
      <c r="D13" s="87"/>
      <c r="E13" s="216"/>
      <c r="I13" s="14"/>
    </row>
    <row r="14" spans="2:9" ht="16.5" thickBot="1">
      <c r="B14" s="234" t="s">
        <v>295</v>
      </c>
      <c r="C14" s="234"/>
      <c r="D14" s="234"/>
      <c r="E14" s="234"/>
      <c r="F14" s="234"/>
      <c r="G14" s="234"/>
      <c r="H14" s="234"/>
      <c r="I14" s="14"/>
    </row>
    <row r="15" spans="2:9" ht="43.5" customHeight="1" thickBot="1">
      <c r="B15" s="202" t="s">
        <v>296</v>
      </c>
      <c r="C15" s="225" t="s">
        <v>194</v>
      </c>
      <c r="D15" s="226"/>
      <c r="E15" s="227" t="s">
        <v>8</v>
      </c>
      <c r="F15" s="228"/>
      <c r="G15" s="227" t="s">
        <v>9</v>
      </c>
      <c r="H15" s="229"/>
      <c r="I15" s="14"/>
    </row>
    <row r="16" spans="2:9">
      <c r="B16" s="88" t="s">
        <v>14</v>
      </c>
      <c r="C16" s="238">
        <v>1229713.6700000004</v>
      </c>
      <c r="D16" s="239"/>
      <c r="E16" s="238">
        <v>910527.00000000023</v>
      </c>
      <c r="F16" s="239"/>
      <c r="G16" s="238">
        <v>319186.67000000004</v>
      </c>
      <c r="H16" s="240"/>
      <c r="I16" s="14"/>
    </row>
    <row r="17" spans="2:14">
      <c r="B17" s="89" t="s">
        <v>15</v>
      </c>
      <c r="C17" s="235">
        <v>1204998.18</v>
      </c>
      <c r="D17" s="236"/>
      <c r="E17" s="235">
        <v>892029.57000000007</v>
      </c>
      <c r="F17" s="236"/>
      <c r="G17" s="235">
        <v>312968.60999999993</v>
      </c>
      <c r="H17" s="237"/>
      <c r="I17" s="14"/>
    </row>
    <row r="18" spans="2:14">
      <c r="B18" s="90" t="s">
        <v>176</v>
      </c>
      <c r="C18" s="235">
        <v>1216178</v>
      </c>
      <c r="D18" s="236"/>
      <c r="E18" s="235">
        <v>910527</v>
      </c>
      <c r="F18" s="236"/>
      <c r="G18" s="235">
        <v>305651</v>
      </c>
      <c r="H18" s="237"/>
      <c r="I18" s="14"/>
    </row>
    <row r="19" spans="2:14" ht="16.5" thickBot="1">
      <c r="B19" s="91" t="s">
        <v>208</v>
      </c>
      <c r="C19" s="269">
        <v>32400</v>
      </c>
      <c r="D19" s="270"/>
      <c r="E19" s="269">
        <v>32400</v>
      </c>
      <c r="F19" s="270"/>
      <c r="G19" s="269">
        <v>0</v>
      </c>
      <c r="H19" s="271"/>
      <c r="I19" s="14"/>
    </row>
    <row r="20" spans="2:14" ht="36.75" thickBot="1">
      <c r="B20" s="92" t="s">
        <v>274</v>
      </c>
      <c r="C20" s="249">
        <f>E20+G20</f>
        <v>21220.179999999993</v>
      </c>
      <c r="D20" s="250"/>
      <c r="E20" s="251">
        <f>E17+E19-E18</f>
        <v>13902.570000000065</v>
      </c>
      <c r="F20" s="252"/>
      <c r="G20" s="251">
        <f>G17-G18</f>
        <v>7317.6099999999278</v>
      </c>
      <c r="H20" s="253"/>
      <c r="I20" s="14"/>
    </row>
    <row r="21" spans="2:14">
      <c r="B21" s="11"/>
      <c r="C21" s="61"/>
      <c r="D21" s="87"/>
      <c r="E21" s="216"/>
      <c r="I21" s="14"/>
    </row>
    <row r="22" spans="2:14" ht="21" customHeight="1" thickBot="1">
      <c r="B22" s="254" t="s">
        <v>302</v>
      </c>
      <c r="C22" s="254"/>
      <c r="D22" s="254"/>
      <c r="E22" s="254"/>
      <c r="F22" s="254"/>
      <c r="G22" s="254"/>
      <c r="H22" s="254"/>
      <c r="I22" s="13"/>
      <c r="J22" s="13"/>
      <c r="L22" s="14"/>
      <c r="M22" s="241" t="s">
        <v>278</v>
      </c>
      <c r="N22" s="241" t="s">
        <v>279</v>
      </c>
    </row>
    <row r="23" spans="2:14" ht="35.25" customHeight="1">
      <c r="B23" s="243" t="s">
        <v>183</v>
      </c>
      <c r="C23" s="245" t="s">
        <v>184</v>
      </c>
      <c r="D23" s="245" t="s">
        <v>185</v>
      </c>
      <c r="E23" s="247" t="s">
        <v>303</v>
      </c>
      <c r="F23" s="255" t="s">
        <v>186</v>
      </c>
      <c r="G23" s="256"/>
      <c r="H23" s="257" t="s">
        <v>209</v>
      </c>
      <c r="I23" s="15"/>
      <c r="J23" s="15"/>
      <c r="L23" s="14"/>
      <c r="M23" s="242"/>
      <c r="N23" s="242"/>
    </row>
    <row r="24" spans="2:14" ht="45" customHeight="1" thickBot="1">
      <c r="B24" s="244"/>
      <c r="C24" s="246"/>
      <c r="D24" s="246"/>
      <c r="E24" s="248"/>
      <c r="F24" s="16" t="s">
        <v>174</v>
      </c>
      <c r="G24" s="17" t="s">
        <v>175</v>
      </c>
      <c r="H24" s="258"/>
      <c r="I24" s="15"/>
      <c r="J24" s="15"/>
      <c r="M24" s="204">
        <v>121934.63</v>
      </c>
      <c r="N24" s="204">
        <f>M24</f>
        <v>121934.63</v>
      </c>
    </row>
    <row r="25" spans="2:14" ht="50.25" customHeight="1">
      <c r="B25" s="18" t="s">
        <v>178</v>
      </c>
      <c r="C25" s="6" t="s">
        <v>205</v>
      </c>
      <c r="D25" s="19" t="s">
        <v>188</v>
      </c>
      <c r="E25" s="93">
        <v>3.42</v>
      </c>
      <c r="F25" s="20">
        <f>$M$24/$M$25*E25</f>
        <v>22087.734883474575</v>
      </c>
      <c r="G25" s="21">
        <f>$N$24/$N$25*E25</f>
        <v>22087.734883474575</v>
      </c>
      <c r="H25" s="22">
        <f>F25-G25</f>
        <v>0</v>
      </c>
      <c r="I25" s="23"/>
      <c r="J25" s="23"/>
      <c r="K25" s="24"/>
      <c r="L25" s="25"/>
      <c r="M25" s="205">
        <f>E34-E32</f>
        <v>18.880000000000003</v>
      </c>
      <c r="N25" s="205">
        <f>E34-E32</f>
        <v>18.880000000000003</v>
      </c>
    </row>
    <row r="26" spans="2:14" ht="56.25">
      <c r="B26" s="26" t="s">
        <v>189</v>
      </c>
      <c r="C26" s="6" t="s">
        <v>205</v>
      </c>
      <c r="D26" s="19" t="s">
        <v>188</v>
      </c>
      <c r="E26" s="94">
        <v>3.8</v>
      </c>
      <c r="F26" s="20">
        <f>$M$24/$M$25*E26</f>
        <v>24541.927648305082</v>
      </c>
      <c r="G26" s="21">
        <f>$N$24/$N$25*E26</f>
        <v>24541.927648305082</v>
      </c>
      <c r="H26" s="22">
        <f t="shared" ref="H26:H31" si="0">F26-G26</f>
        <v>0</v>
      </c>
      <c r="I26" s="23"/>
      <c r="J26" s="23"/>
      <c r="K26" s="2"/>
      <c r="L26" s="2"/>
      <c r="M26" s="186"/>
      <c r="N26" s="186"/>
    </row>
    <row r="27" spans="2:14" ht="55.5" customHeight="1">
      <c r="B27" s="27" t="s">
        <v>171</v>
      </c>
      <c r="C27" s="6" t="s">
        <v>205</v>
      </c>
      <c r="D27" s="19" t="s">
        <v>188</v>
      </c>
      <c r="E27" s="94">
        <v>0.32</v>
      </c>
      <c r="F27" s="20">
        <f t="shared" ref="F27:F30" si="1">$M$24/$M$25*E27</f>
        <v>2066.6886440677963</v>
      </c>
      <c r="G27" s="21">
        <f t="shared" ref="G27:G30" si="2">$N$24/$N$25*E27</f>
        <v>2066.6886440677963</v>
      </c>
      <c r="H27" s="22">
        <f t="shared" si="0"/>
        <v>0</v>
      </c>
      <c r="I27" s="23"/>
      <c r="J27" s="23"/>
      <c r="L27" s="14"/>
    </row>
    <row r="28" spans="2:14" ht="29.25" customHeight="1">
      <c r="B28" s="27" t="s">
        <v>172</v>
      </c>
      <c r="C28" s="28" t="s">
        <v>190</v>
      </c>
      <c r="D28" s="19" t="s">
        <v>188</v>
      </c>
      <c r="E28" s="94">
        <v>0.64</v>
      </c>
      <c r="F28" s="20">
        <f t="shared" si="1"/>
        <v>4133.3772881355926</v>
      </c>
      <c r="G28" s="21">
        <f t="shared" si="2"/>
        <v>4133.3772881355926</v>
      </c>
      <c r="H28" s="22">
        <f t="shared" si="0"/>
        <v>0</v>
      </c>
      <c r="I28" s="23"/>
      <c r="J28" s="23"/>
      <c r="L28" s="14"/>
    </row>
    <row r="29" spans="2:14" ht="51">
      <c r="B29" s="26" t="s">
        <v>179</v>
      </c>
      <c r="C29" s="29" t="s">
        <v>211</v>
      </c>
      <c r="D29" s="19" t="s">
        <v>188</v>
      </c>
      <c r="E29" s="94">
        <v>1.89</v>
      </c>
      <c r="F29" s="20">
        <f t="shared" si="1"/>
        <v>12206.379804025422</v>
      </c>
      <c r="G29" s="21">
        <f t="shared" si="2"/>
        <v>12206.379804025422</v>
      </c>
      <c r="H29" s="22">
        <f t="shared" si="0"/>
        <v>0</v>
      </c>
      <c r="I29" s="23"/>
      <c r="J29" s="23"/>
    </row>
    <row r="30" spans="2:14" ht="219" customHeight="1">
      <c r="B30" s="26" t="s">
        <v>202</v>
      </c>
      <c r="C30" s="29" t="s">
        <v>191</v>
      </c>
      <c r="D30" s="19" t="s">
        <v>188</v>
      </c>
      <c r="E30" s="94">
        <v>7.17</v>
      </c>
      <c r="F30" s="20">
        <f t="shared" si="1"/>
        <v>46306.742431144063</v>
      </c>
      <c r="G30" s="21">
        <f t="shared" si="2"/>
        <v>46306.742431144063</v>
      </c>
      <c r="H30" s="22">
        <f t="shared" si="0"/>
        <v>0</v>
      </c>
      <c r="I30" s="23"/>
      <c r="J30" s="23"/>
      <c r="K30" s="2"/>
      <c r="L30" s="1"/>
      <c r="M30" s="186"/>
      <c r="N30" s="186"/>
    </row>
    <row r="31" spans="2:14" ht="102">
      <c r="B31" s="26" t="s">
        <v>192</v>
      </c>
      <c r="C31" s="6" t="s">
        <v>205</v>
      </c>
      <c r="D31" s="19" t="s">
        <v>188</v>
      </c>
      <c r="E31" s="94">
        <v>0.35</v>
      </c>
      <c r="F31" s="20">
        <f t="shared" ref="F31:F33" si="3">$M$24/$M$25*E31</f>
        <v>2260.4407044491522</v>
      </c>
      <c r="G31" s="21">
        <f t="shared" ref="G31" si="4">$N$24/$N$25*E31</f>
        <v>2260.4407044491522</v>
      </c>
      <c r="H31" s="22">
        <f t="shared" si="0"/>
        <v>0</v>
      </c>
      <c r="I31" s="23"/>
      <c r="J31" s="23"/>
    </row>
    <row r="32" spans="2:14" ht="56.25" customHeight="1">
      <c r="B32" s="27" t="s">
        <v>193</v>
      </c>
      <c r="C32" s="6" t="s">
        <v>205</v>
      </c>
      <c r="D32" s="19" t="s">
        <v>188</v>
      </c>
      <c r="E32" s="94">
        <v>4.5999999999999996</v>
      </c>
      <c r="F32" s="20">
        <v>29708.65</v>
      </c>
      <c r="G32" s="4">
        <v>15250</v>
      </c>
      <c r="H32" s="22">
        <f>F32-G32</f>
        <v>14458.650000000001</v>
      </c>
      <c r="I32" s="23"/>
      <c r="J32" s="23"/>
      <c r="L32" s="14"/>
    </row>
    <row r="33" spans="2:14" ht="16.5" thickBot="1">
      <c r="B33" s="48" t="s">
        <v>173</v>
      </c>
      <c r="C33" s="49" t="s">
        <v>191</v>
      </c>
      <c r="D33" s="50" t="s">
        <v>188</v>
      </c>
      <c r="E33" s="98">
        <v>1.29</v>
      </c>
      <c r="F33" s="20">
        <f t="shared" si="3"/>
        <v>8331.3385963983037</v>
      </c>
      <c r="G33" s="21">
        <f t="shared" ref="G33" si="5">$N$24/$N$25*E33</f>
        <v>8331.3385963983037</v>
      </c>
      <c r="H33" s="30">
        <f>F33-G33</f>
        <v>0</v>
      </c>
      <c r="I33" s="23"/>
      <c r="J33" s="23"/>
    </row>
    <row r="34" spans="2:14" ht="16.5" thickBot="1">
      <c r="B34" s="63" t="s">
        <v>177</v>
      </c>
      <c r="C34" s="52"/>
      <c r="D34" s="52"/>
      <c r="E34" s="96">
        <f>SUM(E25:E33)</f>
        <v>23.480000000000004</v>
      </c>
      <c r="F34" s="53">
        <f>SUM(F25:F33)</f>
        <v>151643.28</v>
      </c>
      <c r="G34" s="54">
        <f>SUM(G25:G33)</f>
        <v>137184.63</v>
      </c>
      <c r="H34" s="35">
        <f>SUM(H25:H33)</f>
        <v>14458.650000000001</v>
      </c>
      <c r="I34" s="36">
        <v>23.48</v>
      </c>
      <c r="J34" s="36">
        <f>I34-E34</f>
        <v>0</v>
      </c>
    </row>
    <row r="35" spans="2:14">
      <c r="B35" s="14"/>
      <c r="C35" s="14"/>
      <c r="D35" s="14"/>
      <c r="E35" s="82"/>
      <c r="F35" s="82"/>
      <c r="G35" s="82"/>
      <c r="I35" s="78"/>
      <c r="J35" s="78"/>
    </row>
    <row r="36" spans="2:14" ht="16.5" customHeight="1" thickBot="1">
      <c r="B36" s="234" t="s">
        <v>304</v>
      </c>
      <c r="C36" s="234"/>
      <c r="D36" s="234"/>
      <c r="E36" s="234"/>
      <c r="F36" s="234"/>
      <c r="G36" s="234"/>
      <c r="H36" s="234"/>
      <c r="I36" s="37"/>
      <c r="J36" s="37"/>
    </row>
    <row r="37" spans="2:14" ht="44.25" customHeight="1" thickBot="1">
      <c r="B37" s="202" t="s">
        <v>305</v>
      </c>
      <c r="C37" s="225" t="s">
        <v>194</v>
      </c>
      <c r="D37" s="226"/>
      <c r="E37" s="227" t="s">
        <v>8</v>
      </c>
      <c r="F37" s="228"/>
      <c r="G37" s="227" t="s">
        <v>9</v>
      </c>
      <c r="H37" s="229"/>
      <c r="I37" s="38"/>
      <c r="J37" s="38"/>
      <c r="K37" s="39"/>
      <c r="L37" s="40"/>
      <c r="M37" s="187"/>
      <c r="N37" s="187"/>
    </row>
    <row r="38" spans="2:14">
      <c r="B38" s="88" t="s">
        <v>14</v>
      </c>
      <c r="C38" s="238">
        <f>E38+G38</f>
        <v>1381356.9500000002</v>
      </c>
      <c r="D38" s="239"/>
      <c r="E38" s="238">
        <f>F25+F26+F27+F28+F29+F30+F31+F33+E16</f>
        <v>1032461.6300000002</v>
      </c>
      <c r="F38" s="239"/>
      <c r="G38" s="238">
        <f>F32+G16</f>
        <v>348895.32000000007</v>
      </c>
      <c r="H38" s="240"/>
      <c r="I38" s="222"/>
      <c r="J38" s="222"/>
      <c r="K38" s="7"/>
      <c r="L38" s="7"/>
      <c r="M38" s="188"/>
    </row>
    <row r="39" spans="2:14">
      <c r="B39" s="89" t="s">
        <v>15</v>
      </c>
      <c r="C39" s="235">
        <f>E39+G39</f>
        <v>1348988.3599999999</v>
      </c>
      <c r="D39" s="236"/>
      <c r="E39" s="235">
        <f>E17+115780.86</f>
        <v>1007810.43</v>
      </c>
      <c r="F39" s="236"/>
      <c r="G39" s="235">
        <f>G17+28209.32</f>
        <v>341177.92999999993</v>
      </c>
      <c r="H39" s="237"/>
      <c r="I39" s="222"/>
      <c r="J39" s="222"/>
      <c r="K39" s="9"/>
      <c r="L39" s="7"/>
      <c r="M39" s="188"/>
    </row>
    <row r="40" spans="2:14">
      <c r="B40" s="90" t="s">
        <v>176</v>
      </c>
      <c r="C40" s="235">
        <f>E40+G40</f>
        <v>1353362.63</v>
      </c>
      <c r="D40" s="236"/>
      <c r="E40" s="260">
        <f>G25+G26+G27+G28+G29+G30+G31+G33+E18</f>
        <v>1032461.63</v>
      </c>
      <c r="F40" s="261"/>
      <c r="G40" s="260">
        <f>G32+G18</f>
        <v>320901</v>
      </c>
      <c r="H40" s="262"/>
      <c r="I40" s="222"/>
      <c r="J40" s="222"/>
      <c r="K40" s="41"/>
      <c r="L40" s="41"/>
    </row>
    <row r="41" spans="2:14" ht="16.5" thickBot="1">
      <c r="B41" s="91" t="s">
        <v>208</v>
      </c>
      <c r="C41" s="269">
        <f>E41+G41</f>
        <v>36000</v>
      </c>
      <c r="D41" s="270"/>
      <c r="E41" s="269">
        <f>E19+3600</f>
        <v>36000</v>
      </c>
      <c r="F41" s="270"/>
      <c r="G41" s="269">
        <f>G19</f>
        <v>0</v>
      </c>
      <c r="H41" s="271"/>
      <c r="I41" s="222"/>
      <c r="J41" s="222"/>
      <c r="K41" s="41"/>
      <c r="L41" s="41"/>
    </row>
    <row r="42" spans="2:14" ht="29.25" customHeight="1" thickBot="1">
      <c r="B42" s="92" t="s">
        <v>275</v>
      </c>
      <c r="C42" s="249">
        <f>E42+G42</f>
        <v>31625.729999999981</v>
      </c>
      <c r="D42" s="250"/>
      <c r="E42" s="251">
        <f>E39+E41-E40</f>
        <v>11348.800000000047</v>
      </c>
      <c r="F42" s="252"/>
      <c r="G42" s="251">
        <f>G39-G40</f>
        <v>20276.929999999935</v>
      </c>
      <c r="H42" s="253"/>
      <c r="I42" s="222"/>
      <c r="J42" s="222"/>
      <c r="K42" s="41"/>
      <c r="L42" s="41"/>
    </row>
    <row r="43" spans="2:14" ht="34.5" customHeight="1">
      <c r="B43" s="219" t="s">
        <v>167</v>
      </c>
      <c r="C43" s="266" t="s">
        <v>284</v>
      </c>
      <c r="D43" s="266"/>
      <c r="E43" s="266"/>
      <c r="F43" s="267" t="s">
        <v>293</v>
      </c>
      <c r="G43" s="267"/>
      <c r="H43" s="219"/>
      <c r="I43" s="219"/>
      <c r="J43" s="219"/>
      <c r="K43" s="2"/>
      <c r="L43" s="2"/>
      <c r="M43" s="186"/>
      <c r="N43" s="186"/>
    </row>
    <row r="44" spans="2:14" ht="11.25" customHeight="1">
      <c r="B44" s="219"/>
      <c r="C44" s="219"/>
      <c r="D44" s="219"/>
      <c r="E44" s="220"/>
      <c r="F44" s="259"/>
      <c r="G44" s="259"/>
      <c r="H44" s="218"/>
      <c r="I44" s="218"/>
      <c r="J44" s="218"/>
      <c r="K44" s="2"/>
      <c r="L44" s="2"/>
      <c r="M44" s="186"/>
      <c r="N44" s="186"/>
    </row>
    <row r="45" spans="2:14">
      <c r="B45" s="219" t="s">
        <v>168</v>
      </c>
      <c r="C45" s="266" t="s">
        <v>284</v>
      </c>
      <c r="D45" s="266"/>
      <c r="E45" s="266"/>
      <c r="F45" s="267" t="s">
        <v>195</v>
      </c>
      <c r="G45" s="267"/>
      <c r="H45" s="219"/>
      <c r="I45" s="219"/>
      <c r="J45" s="219"/>
      <c r="K45" s="2"/>
      <c r="L45" s="2"/>
      <c r="M45" s="186"/>
      <c r="N45" s="186"/>
    </row>
    <row r="46" spans="2:14" ht="9.75" customHeight="1">
      <c r="B46" s="219"/>
      <c r="C46" s="219"/>
      <c r="D46" s="219"/>
      <c r="E46" s="220"/>
      <c r="F46" s="267"/>
      <c r="G46" s="267"/>
      <c r="H46" s="219"/>
      <c r="I46" s="219"/>
      <c r="J46" s="219"/>
    </row>
    <row r="47" spans="2:14">
      <c r="B47" s="219" t="s">
        <v>169</v>
      </c>
      <c r="C47" s="266" t="s">
        <v>284</v>
      </c>
      <c r="D47" s="266"/>
      <c r="E47" s="266"/>
      <c r="F47" s="267" t="s">
        <v>294</v>
      </c>
      <c r="G47" s="267"/>
      <c r="H47" s="219"/>
      <c r="I47" s="219"/>
      <c r="J47" s="219"/>
    </row>
    <row r="48" spans="2:14" ht="8.25" customHeight="1">
      <c r="B48" s="42"/>
      <c r="C48" s="42"/>
      <c r="D48" s="42"/>
      <c r="E48" s="220"/>
      <c r="F48" s="43"/>
      <c r="G48" s="44"/>
      <c r="H48" s="45"/>
      <c r="I48" s="45"/>
      <c r="J48" s="45"/>
    </row>
    <row r="49" spans="2:8">
      <c r="B49" s="219" t="s">
        <v>170</v>
      </c>
      <c r="C49" s="266" t="s">
        <v>284</v>
      </c>
      <c r="D49" s="266"/>
      <c r="E49" s="266"/>
      <c r="F49" s="267" t="s">
        <v>294</v>
      </c>
      <c r="G49" s="267"/>
      <c r="H49" s="3"/>
    </row>
    <row r="50" spans="2:8" ht="9.75" customHeight="1">
      <c r="C50" s="82"/>
      <c r="E50" s="220"/>
    </row>
    <row r="51" spans="2:8">
      <c r="C51" s="82"/>
    </row>
    <row r="52" spans="2:8">
      <c r="C52" s="82"/>
    </row>
  </sheetData>
  <mergeCells count="60">
    <mergeCell ref="C43:E43"/>
    <mergeCell ref="C45:E45"/>
    <mergeCell ref="C47:E47"/>
    <mergeCell ref="C49:E49"/>
    <mergeCell ref="C42:D42"/>
    <mergeCell ref="M22:M23"/>
    <mergeCell ref="N22:N23"/>
    <mergeCell ref="C37:D37"/>
    <mergeCell ref="C38:D38"/>
    <mergeCell ref="C39:D39"/>
    <mergeCell ref="C40:D40"/>
    <mergeCell ref="C41:D41"/>
    <mergeCell ref="C15:D15"/>
    <mergeCell ref="C16:D16"/>
    <mergeCell ref="C17:D17"/>
    <mergeCell ref="C18:D18"/>
    <mergeCell ref="C19:D19"/>
    <mergeCell ref="C20:D20"/>
    <mergeCell ref="E16:F16"/>
    <mergeCell ref="G16:H16"/>
    <mergeCell ref="E17:F17"/>
    <mergeCell ref="G17:H17"/>
    <mergeCell ref="E20:F20"/>
    <mergeCell ref="G20:H20"/>
    <mergeCell ref="E18:F18"/>
    <mergeCell ref="G18:H18"/>
    <mergeCell ref="E19:F19"/>
    <mergeCell ref="G19:H19"/>
    <mergeCell ref="F47:G47"/>
    <mergeCell ref="F49:G49"/>
    <mergeCell ref="B36:H36"/>
    <mergeCell ref="E37:F37"/>
    <mergeCell ref="G37:H37"/>
    <mergeCell ref="E38:F38"/>
    <mergeCell ref="G38:H38"/>
    <mergeCell ref="E39:F39"/>
    <mergeCell ref="G39:H39"/>
    <mergeCell ref="F43:G43"/>
    <mergeCell ref="E40:F40"/>
    <mergeCell ref="G40:H40"/>
    <mergeCell ref="E42:F42"/>
    <mergeCell ref="G42:H42"/>
    <mergeCell ref="E41:F41"/>
    <mergeCell ref="G41:H41"/>
    <mergeCell ref="F44:G44"/>
    <mergeCell ref="F45:G45"/>
    <mergeCell ref="F46:G46"/>
    <mergeCell ref="B1:H1"/>
    <mergeCell ref="B2:H3"/>
    <mergeCell ref="B22:H22"/>
    <mergeCell ref="B23:B24"/>
    <mergeCell ref="C23:C24"/>
    <mergeCell ref="D23:D24"/>
    <mergeCell ref="E23:E24"/>
    <mergeCell ref="F23:G23"/>
    <mergeCell ref="H23:H24"/>
    <mergeCell ref="D5:E5"/>
    <mergeCell ref="B14:H14"/>
    <mergeCell ref="E15:F15"/>
    <mergeCell ref="G15:H15"/>
  </mergeCells>
  <pageMargins left="0.2" right="0.19685039370078741" top="0.16" bottom="0.23622047244094491" header="0.37" footer="0.25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айв. 14</vt:lpstr>
      <vt:lpstr>айв.16</vt:lpstr>
      <vt:lpstr>айв. 18</vt:lpstr>
      <vt:lpstr>айв.20</vt:lpstr>
      <vt:lpstr>В Р 36</vt:lpstr>
      <vt:lpstr>Гр.1</vt:lpstr>
      <vt:lpstr>Гр.3</vt:lpstr>
      <vt:lpstr>Грес.7</vt:lpstr>
      <vt:lpstr>Гр.15</vt:lpstr>
      <vt:lpstr>Гр.17</vt:lpstr>
      <vt:lpstr>Гр.19</vt:lpstr>
      <vt:lpstr>дем.18</vt:lpstr>
      <vt:lpstr>дем.20</vt:lpstr>
      <vt:lpstr>дем.22</vt:lpstr>
      <vt:lpstr>дем.24</vt:lpstr>
      <vt:lpstr>зем.13</vt:lpstr>
      <vt:lpstr>зем. 15</vt:lpstr>
      <vt:lpstr>зем.22</vt:lpstr>
      <vt:lpstr>Зем.24</vt:lpstr>
      <vt:lpstr>либ.1</vt:lpstr>
      <vt:lpstr>либ.2</vt:lpstr>
      <vt:lpstr>сед.21</vt:lpstr>
      <vt:lpstr>либ.11</vt:lpstr>
      <vt:lpstr>либ.11а</vt:lpstr>
      <vt:lpstr>либ.12</vt:lpstr>
      <vt:lpstr>либ.17</vt:lpstr>
      <vt:lpstr>К.М.60</vt:lpstr>
      <vt:lpstr>К.М.62</vt:lpstr>
      <vt:lpstr>крас.19</vt:lpstr>
      <vt:lpstr>Пич.1</vt:lpstr>
      <vt:lpstr>пич.3</vt:lpstr>
      <vt:lpstr>пич.5</vt:lpstr>
      <vt:lpstr>пич.9</vt:lpstr>
      <vt:lpstr>пич.9а</vt:lpstr>
      <vt:lpstr>пич.11</vt:lpstr>
      <vt:lpstr>пич.13</vt:lpstr>
      <vt:lpstr>пич.15</vt:lpstr>
      <vt:lpstr>пич.17</vt:lpstr>
      <vt:lpstr>пич.19</vt:lpstr>
      <vt:lpstr>пич.21</vt:lpstr>
      <vt:lpstr>пич.23</vt:lpstr>
      <vt:lpstr>люкс.2</vt:lpstr>
      <vt:lpstr>люкс.2а</vt:lpstr>
      <vt:lpstr>Северная 4</vt:lpstr>
      <vt:lpstr>сед.4а</vt:lpstr>
      <vt:lpstr>сед.8а</vt:lpstr>
      <vt:lpstr>сед.15</vt:lpstr>
      <vt:lpstr>сед.15а</vt:lpstr>
      <vt:lpstr>сед.23</vt:lpstr>
      <vt:lpstr>сед.25</vt:lpstr>
      <vt:lpstr>ст.раз.28</vt:lpstr>
      <vt:lpstr>тр.2а</vt:lpstr>
      <vt:lpstr>тр.4а</vt:lpstr>
      <vt:lpstr>тр6А</vt:lpstr>
      <vt:lpstr>тр.7а</vt:lpstr>
      <vt:lpstr>тр.36а</vt:lpstr>
      <vt:lpstr>тр.40а</vt:lpstr>
      <vt:lpstr>щорса 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2026-08-05T07:18:35Z</dcterms:modified>
</cp:coreProperties>
</file>